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13" windowWidth="11354" windowHeight="6410" tabRatio="719" activeTab="0"/>
  </bookViews>
  <sheets>
    <sheet name="ΙΣΟΛΟΓΙΣΜΟΣ_2010" sheetId="1" r:id="rId1"/>
    <sheet name="ΓΕΝ.ΕΚΜΕΤΑΛ2010" sheetId="2" r:id="rId2"/>
    <sheet name="ΦΥΛΟ ΜΕΡΙΣΜΟΥ ΕΞΟΔΩΝ" sheetId="3" r:id="rId3"/>
  </sheets>
  <definedNames/>
  <calcPr fullCalcOnLoad="1"/>
</workbook>
</file>

<file path=xl/sharedStrings.xml><?xml version="1.0" encoding="utf-8"?>
<sst xmlns="http://schemas.openxmlformats.org/spreadsheetml/2006/main" count="387" uniqueCount="330">
  <si>
    <t>ΚΑΤΑΣΤΑΣΗ ΛΟΓΑΡΙΑΣΜΟΥ ΓΕΝΙΚΗΣ ΕΚΜΕΤΑΛΛΕΥΣΕΩΣ (Λ/80)</t>
  </si>
  <si>
    <t>ΧΡΕΩΣΗ</t>
  </si>
  <si>
    <t>ΠΙΣΤΩΣΗ</t>
  </si>
  <si>
    <t>1. Αποθέματα ενάρξεως χρήσεως</t>
  </si>
  <si>
    <t>2. Αγορές  χρήσεως</t>
  </si>
  <si>
    <t xml:space="preserve">    Σύνολο αρχικών αποθεμάτων και αγορών</t>
  </si>
  <si>
    <t>3.ΜΕΙΟΝ:Αποθέματα τέλους χρήσεως</t>
  </si>
  <si>
    <t xml:space="preserve">2. Λοιπά οργανικά έσοδα </t>
  </si>
  <si>
    <t xml:space="preserve">4. Οργανικά  έξοδα </t>
  </si>
  <si>
    <t>Αμοιβές και έξοδα τρίτων</t>
  </si>
  <si>
    <t>Παροχές τρίτων</t>
  </si>
  <si>
    <t>Φόροι - τέλη (πλήν τών μη ενσωμα-</t>
  </si>
  <si>
    <t>Διάφορα έξοδα</t>
  </si>
  <si>
    <t xml:space="preserve">Τόκοι και συναφή έξοδα </t>
  </si>
  <si>
    <t>Αποσβέσεις πάγιων στοιχείων ενσω-</t>
  </si>
  <si>
    <t>ματωμένες στο λειτουργικό κόστος</t>
  </si>
  <si>
    <t xml:space="preserve">    Συνολικό κόστος</t>
  </si>
  <si>
    <t>80.00</t>
  </si>
  <si>
    <t>Κέρδη εκμεταλλεύσεως</t>
  </si>
  <si>
    <t xml:space="preserve">ΣΥΝΟΛΟ ΧΡΕΩΣΗΣ </t>
  </si>
  <si>
    <t xml:space="preserve">Σύνολο εμπ/των έναρξης </t>
  </si>
  <si>
    <t xml:space="preserve">ΓΙΑ ΤΗΝ ΕΤΑΙΡΕΙΑ </t>
  </si>
  <si>
    <t xml:space="preserve">Ο ΛΟΓΙΣΤΗΣ </t>
  </si>
  <si>
    <t>ΣΥΝΟΛΟ</t>
  </si>
  <si>
    <t xml:space="preserve">ΑΦΜ                Δ.Ο.Υ. Β  ΙΩΑΝΝΙΝΩΝ </t>
  </si>
  <si>
    <t>ΠΑΝΕΠ.ΓΕΝ.ΝΟΣΟΚΟΜΕΙΟ</t>
  </si>
  <si>
    <t>ΝΟΣΟΚΟΜΕΙΟ</t>
  </si>
  <si>
    <t>Ποσά χρήσης 2010</t>
  </si>
  <si>
    <t>31ης ΔΕΚΕΜΒΡΙΟΥ 2010 (1 Ιανουαρίου-31 Δεκεμβρίου 2010)</t>
  </si>
  <si>
    <t>1. ΠΩΛΗΣΕΙΣ-ΕΣΟΔΑ</t>
  </si>
  <si>
    <t>ΒΕΒΑΙΩΘΕΝΤΑ ΝΟΣΗΛΕΙΑ ΑΠΌ 1/1-31/12/10 ΣΤΟ 2011</t>
  </si>
  <si>
    <t>ΒΕΒΑΙΩΘΕΝΤΑ ΚΑΙ ΕΙΣΠΡΑΧΘΕΝΤΑ ΓΡ.ΚΙΝΗΣΗΣ</t>
  </si>
  <si>
    <t>ΒΕΒΑΙΩΘΕΝΤΑ ΚΑΙ ΕΙΣΠΡΑΧΘΕΝΤΑ ΓΡ.ΕΞ.ΙΑΤΡΕΙΩΝ</t>
  </si>
  <si>
    <t>ΒΕΒΑΙΩΘΕΝΤΑ ΚΑΙ ΕΙΣΠΡΑΧΘΕΝΤΑ ΤΕΠ</t>
  </si>
  <si>
    <t>ΒΕΒΑΙΩΘΕΝΤΑ ΚΑΙ ΕΙΣΠΡΑΧΘΕΝΤΑ ΕΛΛΑΠΙ</t>
  </si>
  <si>
    <t>ΕΚΚΡΕΜΟΤΗΤΕΣ 2010 ΓΡ.ΚΙΝΗΣΗΣ-ΤΙΜΟΛΟΓΙΑ</t>
  </si>
  <si>
    <t>ΕΚΚΡΕΜΟΤΗΤΕΣ 2010 ΓΡ.ΚΙΝΗΣΗΣ-ΔΥΣΤΡΟΠΟΥΝΤΕΣ ΧΡΗΣΗΣ</t>
  </si>
  <si>
    <t>ΕΚΚΡΕΜΟΤΗΤΕΣ 2010 ΓΡ.ΚΙΝΗΣΗΣ-ΔΥΣΤΡΟΠΟΥΝΤΕΣ-ΠΑΡ.ΕΤΗ</t>
  </si>
  <si>
    <t xml:space="preserve">ΕΚΚΡΕΜΟΤΗΤΕΣ 2010 ΓΡ.ΕΞ. ΙΑΤΡΕΩΝ ΑΒΕΒΑΙΩΤΑ </t>
  </si>
  <si>
    <t>ΕΚΚΡΕΜΟΤΗΤΕΣ 2010 ΤΕΠ ΧΡΗΣΗΣ 2010</t>
  </si>
  <si>
    <t>ΒΕΒΑΙΩΘΕΝΤΑ ΝΟΣΗΛΕΙΑ ΑΠΌ 1/1-31/12/10 ΒΕΒΑΙΩΘΕΝΤΑ ΣΤΟ 2010</t>
  </si>
  <si>
    <t>ΒΕΒΑΙΩΘΕΝΤΑ ΝΟΣΗΛΕΙΑ ΑΠΌ 1/1-31/12/10 ΕΛΛΑΠΙ ΒΕΒΑΙΩΘΕΝΤΑ ΣΤΟ 2010</t>
  </si>
  <si>
    <t xml:space="preserve">ΒΕΒΑΙΩΘΕΝΤΑ ΝΟΣΗΛΕΙΑ ΑΠΌ 1/1-31/12/10 ΕΛΛΑΠΙ ΒΕΒΑΙΩΘΕΝΤΑ ΣΤΟ 2011 </t>
  </si>
  <si>
    <t>ΕΠΙΧΟΡΗΓΗΣΕΙΣ</t>
  </si>
  <si>
    <t>ΕΠΙΧΟΡΗΓΗΣΕΙΣ ΔΙΑΣ</t>
  </si>
  <si>
    <t>Αμοιβές και έξοδα προσωπικού &amp; ΕΠΙΧ.ΔΙΑΣ</t>
  </si>
  <si>
    <t>ΛΙΤΣΑ-ΚΩΤΣΟΓΛΟΥ</t>
  </si>
  <si>
    <t>ΤΑΜΕΙΟ</t>
  </si>
  <si>
    <t>ΚΩΤΣΟΓΛΟΥ</t>
  </si>
  <si>
    <t>ΡΑΝΙΑ</t>
  </si>
  <si>
    <t>ΜΠΑΓΙΑΣ-ΕΥΘΥΜΙΟΥ</t>
  </si>
  <si>
    <t>ΘΕΜΕΛΗ ΑΓΓ.</t>
  </si>
  <si>
    <t>ΜΙΣ/ΣΙΑ</t>
  </si>
  <si>
    <t>ΜΕΛΕΤΕΣ-ΛΟΙΠΑ ΕΣΟΔΑ</t>
  </si>
  <si>
    <t>ΣΥΝΟΛΑ</t>
  </si>
  <si>
    <t>ΓΕΝ. ΣΥΝΟΛΑ</t>
  </si>
  <si>
    <t>20-29</t>
  </si>
  <si>
    <t>Εμπορεύματα-ΥΛΙΚΑ</t>
  </si>
  <si>
    <t>Η/Υ</t>
  </si>
  <si>
    <t>ΤΙΜΟΛΟΓΙΑ</t>
  </si>
  <si>
    <t xml:space="preserve">   Αγορές και διαφορά (+/-) αποθεμάτων-ΚΟΣΤΟΣ ΠΩΛΗΘΕΝΤΩΝ</t>
  </si>
  <si>
    <t>ΞΕΝΩΝΑΣ</t>
  </si>
  <si>
    <t>ΠΑΙΔΙΚΟΣ ΣΤΑΘΜΟΣ-ΒΙΒΛΙΟΘΗΚΗ-ΟΙΚΟΣ ΙΑΤΡΩΝ-ΝΟΣΗΛΕΥΤΩΝ-ΓΡ.ΠΡΟΜΗΘΕΙΩΝ</t>
  </si>
  <si>
    <t>ΚΥΛΙΚΕΙΑ-ΕΣΤΙΑΤΟΡΙΑ (ΡΕΥΜΑ-ΝΕΡΟ)</t>
  </si>
  <si>
    <t>ΠΛΗΡΟΦΟΡΙΕΣ</t>
  </si>
  <si>
    <t>ΑΠΟΣΒΕΣΕΙΣ</t>
  </si>
  <si>
    <t xml:space="preserve"> </t>
  </si>
  <si>
    <t>Αποζ.Απολ.εφα απαξ-εισφορα 6ον ΥΠΕ</t>
  </si>
  <si>
    <t>ΦΥΛΛΟ ΜΕΡΙΣΜΟΥ ΑΠΟΤΕΛΕΣΜΑΤΩΝ ΧΡΗΣΕΩΣ 31/12/2010</t>
  </si>
  <si>
    <t>ΛΟΓΑΡΙΑΣΜΟΣ</t>
  </si>
  <si>
    <t>ΠΕΡΙΓΡΑΦΗ</t>
  </si>
  <si>
    <t>ΚΟΣΤΟΣ ΠΑΡΟΧΗΣ ΥΠΗΡΕΣΙΩΝ</t>
  </si>
  <si>
    <t>ΚΟΣΤΟΣ ΔΙΟΙΚΗΣΗΣ</t>
  </si>
  <si>
    <t>60.00.00.9998</t>
  </si>
  <si>
    <t>ΑΜΟΙΒΕΣ ΜΕΣΩ ΔΙΑΣ ΓΙΑ ΤΗ ΔΙΟΙΚΗΣΗ ΤΟΥ ΝΟΣΟΚΟΜΕΙΟΥ</t>
  </si>
  <si>
    <t>60.00.00.9999</t>
  </si>
  <si>
    <t>ΑΜΟΙΒΕΣ ΜΕΣΩ ΔΙΑΣ ΓΙΑ ΤΗΝ ΠΑΡΟΧΗ ΥΓΕΙΟΝΟΜΙΚΩΝ ΥΠΗΡΕΣΙΩΝ</t>
  </si>
  <si>
    <t>60.00.03.0221</t>
  </si>
  <si>
    <t>ΧΡΟΝΟΕΠΙΔΟΜΑ</t>
  </si>
  <si>
    <t>60.00.06.0223</t>
  </si>
  <si>
    <t>ΕΠΙΔΟΜΑ ΜΕΤΑΠΤΥΧΙΑΚΩΝ ΣΠΟΥΔΩΝ</t>
  </si>
  <si>
    <t>60.00.06.0224</t>
  </si>
  <si>
    <t>ΕΠΙΔΟΜΑ ΟΙΚΟΓΕΝΕΙΑΚΩΝ ΒΑΡΩΝ ΓΑΜΟΥ</t>
  </si>
  <si>
    <t>60.00.07.0225</t>
  </si>
  <si>
    <t>ΕΠΙΔΟΜΑ ΤΕΚΝΩΝ</t>
  </si>
  <si>
    <t>60.00.09.0228</t>
  </si>
  <si>
    <t>EΠΙΔΟΜΑ ΧΡΙΣΤΟΥΓΕΝΝΩΝ ΠΑΣΧΑ</t>
  </si>
  <si>
    <t>60.00.36.0257</t>
  </si>
  <si>
    <t>ΝΟΣΟΚΟΜΕΙΑΚΟ ΕΠΙΔΟΜΑ</t>
  </si>
  <si>
    <t>60.00.39.0259</t>
  </si>
  <si>
    <t>ΛΟΙΠΑ ΕΙΔΙΚΑ ΤΑΚΤΙΚΑ ΕΠΙΔΟΜΑΤΑ</t>
  </si>
  <si>
    <t>60.00.44.0261</t>
  </si>
  <si>
    <t>ΑΠΟΖΗΜΙΩΣΗ  ΥΠΕΡΩΡΙΩΝ</t>
  </si>
  <si>
    <t>60.00.44.0262</t>
  </si>
  <si>
    <t>ΑΠΟΖΗΜΙΩΣΗ  ΣΕ ΕΞΟΔΑ ΚΙΝΗΣΕΩΣ</t>
  </si>
  <si>
    <t>60.00.44.0264</t>
  </si>
  <si>
    <t>ΑΠΟΖΗΜΙΩΣΗ ΛΟΓΩ ΣΥΜΜΕΤΟΧΗΣ ΣΕ ΣΥΜΒΟΥΛΙΑ ΚΑΙ ΕΠΙΤΡΟ</t>
  </si>
  <si>
    <t>60.00.69.0289</t>
  </si>
  <si>
    <t>ΔΙΑΦΟΡΕΣ ΑΠΟΖΗΜΙΩΣΕΙΣ ΜΗ ΕΙΔΙΚΑ ΚΑΤΟΝΟΜΑΖΟΜΕΝΕΣ</t>
  </si>
  <si>
    <t>60.01.90.0000</t>
  </si>
  <si>
    <t>ΑΜΟΙΒΕΣ ΕΜΜΙΣΘΟΥ ΕΚΤΑΚΤΟΥ ΠΡΟΣΩΠΙΚΟΥ</t>
  </si>
  <si>
    <t>60.02.02.0219</t>
  </si>
  <si>
    <t>ΒΑΣΙΚΟΣ ΜΙΣΘΟΣ ΛΟΙΠΩΝ ΥΠΑΛΛΗΛΩΝ ΚΑΙ ΕΡΓΑΤΩΝ</t>
  </si>
  <si>
    <t>60.20.09.0552</t>
  </si>
  <si>
    <t>ΕΙΣΦΟΡΕΣ ΣΕ ΛΟΙΠΟΥΣ ΑΣΦΑΛ. ΟΡΓΑΝ.(ΕΚΤΟΣ ΚΩΔ. ΑΡΙΘΜ. 0524)</t>
  </si>
  <si>
    <t>60.22.00.0551</t>
  </si>
  <si>
    <t>ΕΙΣΦΟΡΕΣ ΣΤΟ ΙΚΑ ΕΚΤΟΣ ΑΠΌ ΠΕΡΙΠΤΩΣΗ ΚΩΔ. ΑΡΙΘΜ. 0523</t>
  </si>
  <si>
    <t>60.50.05.0519</t>
  </si>
  <si>
    <t>ΛΟΙΠΕΣ ΠΕΡΙΠΤΩΣΕΙΣ ΠΑΡΟΧΗΣ ΕΞΟΔΩΝ ΝΟΣΗΛΕΙΑΣ</t>
  </si>
  <si>
    <t>60.50.05.0529</t>
  </si>
  <si>
    <t>ΛΟΙΠΕΣ ΕΡΓΟΔΟΤΙΚΕΣ ΕΙΣΦΟΡΕΣ</t>
  </si>
  <si>
    <t>60.50.11.0541</t>
  </si>
  <si>
    <t xml:space="preserve">ΕΚΠΑΙΔΕΥΣΗ </t>
  </si>
  <si>
    <t>60.50.22.0532</t>
  </si>
  <si>
    <t>ΕΞΟΔΑ ΚΗΔΕΙΑΣ ΥΠΑΛΛΗΛΩΝ ΚΑΙ ΣΥΝΤΑΞΙΟΥΧΩΝ</t>
  </si>
  <si>
    <t>60.50.24.0534</t>
  </si>
  <si>
    <t>ΕΞΟΔΑ ΚΗΔΕΙΑΣ</t>
  </si>
  <si>
    <t>60.50.19.2677</t>
  </si>
  <si>
    <t>ΕΞΚΠΑΙΔΕΥΣΗ ΑΛΛΟΔΑΠΩΝ ΣΤΗΝ ΕΛΛΑΔΑ</t>
  </si>
  <si>
    <t>61.00.02.0412</t>
  </si>
  <si>
    <t>AΜΟΙΒΕΣ ΚΑΙ ΕΞΟΔΑ ΤΕΧΝΙΚΩΝ</t>
  </si>
  <si>
    <t>61.00.03.0419</t>
  </si>
  <si>
    <t>AΜΟΙΒΕΣ ΚΑΙ ΕΞΟΔΑ ΟΡΓΑΝΩΤΩΝ - ΜΕΛΕΤΗΤΩΝ - ΕΡΕΥΝΗΤΩ</t>
  </si>
  <si>
    <t>61.00.30.0420</t>
  </si>
  <si>
    <t>ΑΜΟΙΒΕΣ ΛΟΙΠΩΝ ΠΟΥ ΕΚΤΕΛΟΥΝ ΕΙΔ.</t>
  </si>
  <si>
    <t>61.00.11.0418</t>
  </si>
  <si>
    <t>ΕΙΔΙΚΗ ΑΜΟΙΒΗ ΠΑΝΕΠΙΣΤΗΜΙΑΚΩΝ</t>
  </si>
  <si>
    <t>61.98.13.0433</t>
  </si>
  <si>
    <t>ΑΜΟΙΒΕΣ ΝΟΜΙΚΩΝ ΠΡΟΣΩΠΩΝ Η΄ ΟΡΓΑΝΙΣΜΩΝ ΓΙΑ ΜΗΧΑΝΟΓ</t>
  </si>
  <si>
    <t>61.98.19.0439</t>
  </si>
  <si>
    <t>ΛΟΙΠΕΣ ΑΜΟΙΒΕΣ Φ.ΠΡΟΣΩΠΩΝ ΓΙΑ ΕΙΔΙΚΕΣ ΥΠΗΡΕΣΙΕΣ</t>
  </si>
  <si>
    <t>62.01.00.0842</t>
  </si>
  <si>
    <t>ΦΩΤΑΕΡΙΟ</t>
  </si>
  <si>
    <t>62.02.00.0841</t>
  </si>
  <si>
    <t>ΥΔΡΕΥΣΗ ΠΑΡΑΓΩΓΗΣ</t>
  </si>
  <si>
    <t>62.03.00.0831</t>
  </si>
  <si>
    <t>TΑΧΥΔΡΟΜΙΚΑ ΤΕΛΗ</t>
  </si>
  <si>
    <t>62.03.01.0832</t>
  </si>
  <si>
    <t>TΗΛΕΦΩΝΙΚΑ -TΗΛΕΓΡΑΦΙΚΑ ΚΑΙ TΗΛΕΤΥΠΙΚΑ ΤΕΛΗ EΣΩΤΕΡ</t>
  </si>
  <si>
    <t>62.04.01.0813</t>
  </si>
  <si>
    <t>ΕΝΟΙΚΙΑ ΚΤΙΡΙΩΝ ΤΕΧ. ΕΡΓΩΝ</t>
  </si>
  <si>
    <t>62.04.02.0817</t>
  </si>
  <si>
    <t>EΝΟΙΚΙΑ ΜΗΧΑΝΑΤΩΝ-ΤΕΧΝ.EΓΚΑΤΑΣΤΑΣΕΩΝ</t>
  </si>
  <si>
    <t>62.05.00.0892</t>
  </si>
  <si>
    <t>AΣΦΑΛΙΣΤΡΑ-ΦΥΛΑΚΤΡΑ ΑΚΙΝΗΤΩΝ</t>
  </si>
  <si>
    <t>62.07.01.0863</t>
  </si>
  <si>
    <t>ΣΥΝΤΗΡΗΣΗ - ΕΠΙΣΚΕΥΗ ΚΤΙΡΙΩΝ</t>
  </si>
  <si>
    <t>62.07.19.0879</t>
  </si>
  <si>
    <t>ΣΥΝΤΗΡΗΣΗ ΚΑΙ ΕΠΙΣΚΕΥΗ ΛΟΙΠΩΝ ΜΟΝΙΜΩΝ ΕΓΚΑΤΑΣΤΑΣΕΩ</t>
  </si>
  <si>
    <t>62.07.21.0881</t>
  </si>
  <si>
    <t>ΣΥΝΤΗΡΗΣΗ ΚΑΙ ΕΠΙΣΚΕΥΗ ΜΕΤΑΦΟΡΙΚΩΝ ΜΕΣΩΝ ΞΗΡΑΣ</t>
  </si>
  <si>
    <t>62.07.27.0887</t>
  </si>
  <si>
    <t>ΣΥΝΤΗΡΗΣΗ ΚΑΙ ΕΠΙΣΚΕΥΗ ΛΟΙΠΩΝ ΜΗΧΑΝΗΜΑΤΩΝ</t>
  </si>
  <si>
    <t>62.07.28.0888</t>
  </si>
  <si>
    <t>ΣΥΝΤΗΡΗΣΗ ΚΑΙ ΕΠΙΣΚΕΥΗ ΕΠΙΠΛΩΝ ΚΑΙ ΣΚΕΥΩΝ</t>
  </si>
  <si>
    <t>62.07.29.0889</t>
  </si>
  <si>
    <t>ΣΥΝΤΗΡΗΣΗ ΚΑΙ ΕΠΙΣΚΕΥΗ ΛΟΙΠΟΥ ΕΞΟΠΛΙΣΜΟΥ</t>
  </si>
  <si>
    <t>62.98.04.0844</t>
  </si>
  <si>
    <t>ΔΑΠΑΝΕΣ ΕΚΚΕΝΩΣΕΩΣ ΒΟΘΡΩΝ</t>
  </si>
  <si>
    <t>62.98.09.0849</t>
  </si>
  <si>
    <t>ΔΙΑΦΟΡΕΣ ΠΑΡΟΧΕΣ ΤΡΙΤΩΝ</t>
  </si>
  <si>
    <t>63.03.00.0912</t>
  </si>
  <si>
    <t>TΕΛΗ ΚΥΚΛΟΦΟΡΙΑΣ ΕΠΙΒΑΤΙΚΩΝ ΑΥΤΟΚΙΝΗΤΩΝ</t>
  </si>
  <si>
    <t>64.00.05.0824</t>
  </si>
  <si>
    <t>EΞΟΔΑ ΜΕΤΑΦΟΡΑΣ ΑΓΑΘΩΝ ΚΑΙ ΦΟΡΤΟΕΚΦΟΡΤΩΤΙΚΑ</t>
  </si>
  <si>
    <t>64.01.00.0711</t>
  </si>
  <si>
    <t>ΟΔΟΙΠΟΡΙΚΑ ΕΞΟΔΑ ΜΕΤΑΚΙΝΗΣΕΩΣ ΓΙΑ ΕΚΤΕΛΕΣΗ ΥΠΗΡΕΣΙ</t>
  </si>
  <si>
    <t>64.01.09.0719</t>
  </si>
  <si>
    <t>ΛΟΙΠΕΣ ΠΛΗΡΩΜΕΣ ΓΙΑ ΜΕΤΑΚΙΝΗΣΗ ΥΠΑΛΛΗΛΩΝ</t>
  </si>
  <si>
    <t>64.01.11.0721</t>
  </si>
  <si>
    <t>ΗΜΕΡΗΣΙΑ ΑΠΟΖΗΜΙΩΣΗ ΜΕΤΑΚΙΝΗΣΗ ΓΙΑ ΥΠΗΡΕΣΙΑ ΣΤΗΝ Η</t>
  </si>
  <si>
    <t>64.01.27.0737</t>
  </si>
  <si>
    <t>ΟΔΟΙΠΟΡΙΚΑ ΕΞΟΔΑ ΓΙΑ ΑΠΟΣΤΟΛΗ ΣΤΗΝ ΑΛΛΟΔΑΠΗ ΥΠΑΛΛΗ</t>
  </si>
  <si>
    <t>64.02.00.0851</t>
  </si>
  <si>
    <t>ΔΙΑΦΗΜΙΣΕΙΣ</t>
  </si>
  <si>
    <t>64.07.01.1259</t>
  </si>
  <si>
    <t>ΒΙΒΛΙΑ ΠΕΡΙΟΔΙΚΑ ΕΦΗΜΕΡΙΔΕΣ ΚΑΙ ΛΟΙΠΕΣ ΕΚΔΟΣΕΙΣ</t>
  </si>
  <si>
    <t>64.98.04.0893</t>
  </si>
  <si>
    <t>ΕΚΤΕΛΕΣΗ ΔΙΚΑΣΤΙΚΩΝ ΑΠΟΦΑΣΕΩΝ Η΄ ΣΥΜΒΙΒΑΣΤΙΚΩΝ ΠΡΑ</t>
  </si>
  <si>
    <t>64.98.19.0899</t>
  </si>
  <si>
    <t>ΛΟΙΠΕΣ ΔΑΠΑΝΕΣ</t>
  </si>
  <si>
    <t>67.02.08.0638</t>
  </si>
  <si>
    <t>ΑΠΟΖΗΜΕΙΩΣΕΙΣ ΑΠΟΛΥΟΜΕΝΩΝ</t>
  </si>
  <si>
    <t>67.40.99.2499</t>
  </si>
  <si>
    <t xml:space="preserve">ΛΟΙΠΕΣ ΕΠΙΧΟΡΗΓΗΣΕΙΣ ΚΑΙ ΣΥΝΔΡΟΜΕΣ </t>
  </si>
  <si>
    <t>ΓΕΝΙΚΟ ΣΥΝΟΛΟ ΟΜΑΔΑΣ 6</t>
  </si>
  <si>
    <t xml:space="preserve">             ΕΛΛΗΝΙΚΗ ΔΗΜΟΚΡΑΤΙΑ                   </t>
  </si>
  <si>
    <t>6η ΥΓΕΙΟΝΟΜΙΚΗ ΠΕΡΙΦΕΡΕΙΑ ΠΕΛΟΠΟΝΝΗΣΟΥ, ΙΟΝΙΩΝ ΝΗΣΩΝ, ΗΠΕΙΡΟΥ &amp; ΔΥΤΙΚΗΣ ΕΛΛΑΔΑΣ</t>
  </si>
  <si>
    <t xml:space="preserve">             ΥΠΟΥΡΓΕΙΟ ΥΓΕΙΑΣ &amp; ΚΟΙΝ. ΑΛΛΗΛΕΓΓΥΗΣ </t>
  </si>
  <si>
    <t>ΠΑΝΕΠΙΣΤΗΜΙΑΚΟ ΓΕΝΙΚΟ ΝΟΣΟΚΟΜΕΙΟ ΙΩΑΝΝΙΝΩΝ</t>
  </si>
  <si>
    <t>ΙΣΟΛΟΓΙΣΜΟΣ  ΤΗΣ 31ης Δεκεμβρίου 2010</t>
  </si>
  <si>
    <t>5η ΔΙΑΧΕΙΡΙΣΤΙΚΗ ΧΡΗΣΗ (1 ΙΑΝΟΥΑΡΙΟΥ - 31 ΔΕΚΕΜΒΡΙΟΥ 2010)</t>
  </si>
  <si>
    <t>ΣΥΜΦΩΝΑ ΜΕ ΤΟ Π.Δ. 146/2003</t>
  </si>
  <si>
    <t xml:space="preserve">     Ποσά σε ευρώ</t>
  </si>
  <si>
    <t>Ε Ν Ε Ρ Γ Η Τ Ι Κ Ο</t>
  </si>
  <si>
    <t>Π Α Θ Η Τ Ι Κ Ο</t>
  </si>
  <si>
    <t>Ποσά κλειόμενης χρήσεως 2010</t>
  </si>
  <si>
    <t>Ποσά προηγούμενης χρήσεως 2009</t>
  </si>
  <si>
    <t>Ποσά προηγ. χρήσης 2009</t>
  </si>
  <si>
    <t>Αξία     Κτήσεως</t>
  </si>
  <si>
    <t>Αποσβέσεις</t>
  </si>
  <si>
    <t xml:space="preserve">Αναπόσβεστη αξία  </t>
  </si>
  <si>
    <t>Β. ΕΞΟΔΑ ΕΓΚΑΤΑΣΤΑΣΕΩΣ</t>
  </si>
  <si>
    <t>Α. ΙΔΙΑ ΚΕΦΑΛΑΙΑ</t>
  </si>
  <si>
    <t xml:space="preserve">     4. Λοιπά έξοδα εγκαταστάσεως</t>
  </si>
  <si>
    <t>Ι. Κεφάλαιο</t>
  </si>
  <si>
    <t>1. Καταβεβλημένο</t>
  </si>
  <si>
    <t>Γ. ΠΑΓΙΟ ΕΝΕΡΓΗΤΙΚΟ</t>
  </si>
  <si>
    <t>ΙΙ. Ενσώματες ακινητοποιήσεις</t>
  </si>
  <si>
    <t>ΙΙ. Διαφορές αναπροσαρμογής και επιχορηγήσεις</t>
  </si>
  <si>
    <t>1. Γήπεδα-Οικόπεδα</t>
  </si>
  <si>
    <t xml:space="preserve">    επενδύσεων παγίων</t>
  </si>
  <si>
    <t>3. Κτίρια &amp; Τεχνικά Έργα</t>
  </si>
  <si>
    <t>4. Επιχορηγήσεις επενδύσεων</t>
  </si>
  <si>
    <t>4. Mηχανήματα - Τεχνικές εγκαταστάσεις &amp;</t>
  </si>
  <si>
    <t>Μείον Αποσβέσεις επιχορηγήσεων</t>
  </si>
  <si>
    <t xml:space="preserve">    Λοιπός Μηχανολογικός Εξοπλισμός</t>
  </si>
  <si>
    <t>5. Μεταφορικά Μέσα</t>
  </si>
  <si>
    <t>6. Έπιπλα και λοιπός εξοπλισμός</t>
  </si>
  <si>
    <t>7. Ακινητοποιήσεις υπό εκτέλεση και προκαταβολές</t>
  </si>
  <si>
    <t>ΙV. Αποθεματικά κεφάλαια</t>
  </si>
  <si>
    <t>Σύνολο ακινητοποιήσεων (ΓΙΙ)</t>
  </si>
  <si>
    <t>3. Ειδικά αποθεματικά</t>
  </si>
  <si>
    <t>Σύνολο παγίου ενεργ/κού(ΓΙΙ)</t>
  </si>
  <si>
    <t>V. Αποτελέσματα εις νέο</t>
  </si>
  <si>
    <t>Δ. ΚΥΚΛΟΦΟΡΟΥΝ ΕΝΕΡΓΗΤΙΚΟ</t>
  </si>
  <si>
    <t>Υπόλοιπο ελλείματος χρήσεως εις νέο</t>
  </si>
  <si>
    <t>Ι. Απoθέματα</t>
  </si>
  <si>
    <t xml:space="preserve">4. Πρώτες &amp; βοηθητικές ύλες Αναλώσιμα υλικά </t>
  </si>
  <si>
    <t>Σύνολο ιδίων κεφαλαίων (ΑΙ+ΑΙΙ+AIV+ΑV)</t>
  </si>
  <si>
    <t>ΙΙ. Απαιτήσεις</t>
  </si>
  <si>
    <t>1. Απαιτήσεις από πώληση αγαθών και υπηρεσιών</t>
  </si>
  <si>
    <t>Γ.ΥΠΟΧΡΕΩΣΕΙΣ</t>
  </si>
  <si>
    <t>5. Xρεώστες Διάφοροι</t>
  </si>
  <si>
    <t>ΙΙ. Βραχυπρόθεσμες υποχρεώσεις.</t>
  </si>
  <si>
    <t>Συνολο απαιτήσεων</t>
  </si>
  <si>
    <t>1. Προμηθευτές</t>
  </si>
  <si>
    <t>IV. Διαθέσιμα</t>
  </si>
  <si>
    <t>5.Υποχρεώσεις από φόρους-τέλη</t>
  </si>
  <si>
    <t>3. Καταθέσεις όψεως και προθεσμίας</t>
  </si>
  <si>
    <t>8.Πιστωτές διαφοροι</t>
  </si>
  <si>
    <t>Σύνολο Κυκλοφορούντος Ενεργητικού (ΔΙ+ΔΙΙ+ΔΙV)</t>
  </si>
  <si>
    <t>Σύνολο υποχρεώσεων (ΓΙΙ)</t>
  </si>
  <si>
    <t>Ε.ΜΕΤΑΒΑΤΙΚΟΙ ΛΟΓΑΡΙΑΣΜΟΙ ΕΝΕΡΓΗΤΙΚΟΥ</t>
  </si>
  <si>
    <t>Έσοδα χρήσεως εισπρακτέα</t>
  </si>
  <si>
    <t xml:space="preserve">   ΓΕΝΙΚΟ ΣΥΝΟΛΟ ΕΝΕΡΓΗΤΙΚΟΥ (Β+Γ+Δ+Ε)</t>
  </si>
  <si>
    <t xml:space="preserve">   ΓΕΝΙΚΟ ΣΥΝΟΛΟ ΠΑΘΗΤΙΚΟΥ (Α+Γ)</t>
  </si>
  <si>
    <t>ΣΗΜΕΙΩΣΕΙΣ :</t>
  </si>
  <si>
    <t xml:space="preserve">ΚΑΤΑΣΤΑΣΗ ΛΟΓΑΡΙΑΣΜΟΥ ΑΠΟΤΕΛΕΣΜΑΤΩΝ ΧΡΗΣΕΩΣ(Λ/86) </t>
  </si>
  <si>
    <t>ΠΙΝΑΚΑΣ ΔΙΑΘΕΣΗΣ ΑΠΟΤΕΛΕΣΜΑΤΩΝ</t>
  </si>
  <si>
    <t xml:space="preserve"> Ποσά κλειόμενης χρήσεως 2010</t>
  </si>
  <si>
    <t xml:space="preserve"> Ποσά κλειόμενης χρήσεως 2009</t>
  </si>
  <si>
    <t>Ι.</t>
  </si>
  <si>
    <t>Αποτελέσματα εκμεταλλεύσεως</t>
  </si>
  <si>
    <t>Καθαρά αποτελέσματα(πλεόνασμα / έλλειμμα) χρήσεως</t>
  </si>
  <si>
    <t>1. Έσοδα από πώληση αγαθών και υπηρεσιών</t>
  </si>
  <si>
    <t>Έλλειμμα προηγούμενης χρήσης</t>
  </si>
  <si>
    <t>3. Τακτικές επιχορηγήσεις από κρατικό προυπολογισμό</t>
  </si>
  <si>
    <t>Έλλειμμα εις νέο</t>
  </si>
  <si>
    <r>
      <t xml:space="preserve">Μείον </t>
    </r>
    <r>
      <rPr>
        <sz val="11"/>
        <rFont val="Arial Greek"/>
        <family val="0"/>
      </rPr>
      <t>: Κόστος αγαθών και υπηρεσιών</t>
    </r>
  </si>
  <si>
    <t>Μικτά αποτελέσματα (έλλειμμα) εκμεταλλεύσεως</t>
  </si>
  <si>
    <r>
      <t xml:space="preserve">Πλέον </t>
    </r>
    <r>
      <rPr>
        <sz val="11"/>
        <rFont val="Arial Greek"/>
        <family val="0"/>
      </rPr>
      <t xml:space="preserve">: Άλλα έσοδα </t>
    </r>
  </si>
  <si>
    <t>Ιωάννινα 30/12/2011</t>
  </si>
  <si>
    <t>Σύνολο</t>
  </si>
  <si>
    <r>
      <t xml:space="preserve">Μείον : </t>
    </r>
    <r>
      <rPr>
        <sz val="11"/>
        <rFont val="Arial Greek"/>
        <family val="0"/>
      </rPr>
      <t>1. Έξοδα διοικητικής λειτουργίας</t>
    </r>
  </si>
  <si>
    <t>Ο ΔΙΟΙΚΗΤΗΣ ΤOΥ ΠΑΝΕΠΙΣΤΗΜΙΑΚΟΥ ΓΕΝΙΚΟΥ ΝΟΣΟΚΟΜΕΙΟΥ ΙΩΑΝΝΙΝΩΝ</t>
  </si>
  <si>
    <t>Ο ΔΙΕΥΘΥΝΤΗΣ ΔΙΟΙΚΗΤΙΚΩΝ ΥΠΗΡΕΣΙΩΝ</t>
  </si>
  <si>
    <t>Μερικά αποτελέσματα (έλλειμμα) εκμεταλλεύσεως</t>
  </si>
  <si>
    <t>Πλέον</t>
  </si>
  <si>
    <t>4. Πιστωτικοί τόκοι και συναφή έσοδα</t>
  </si>
  <si>
    <t>Ολικά αποτελέσματα (έλλειμμα) εκμεταλλεύσεως</t>
  </si>
  <si>
    <t>ΙΙ.</t>
  </si>
  <si>
    <t>ΠΛΕΟΝ : Έκτακτα αποτελέσματα</t>
  </si>
  <si>
    <t>1. Έκτακτα &amp; Ανόργανα έσοδα</t>
  </si>
  <si>
    <t>ΚΡΑΝΑΣ ΛΑΜΠΡΟΣ</t>
  </si>
  <si>
    <t>3. Έσοδα προηγουμένων χρήσεων</t>
  </si>
  <si>
    <t>Α.Δ.Τ  ΑΙ  253326</t>
  </si>
  <si>
    <t>3α. Επιχορήγηση για κάλυψη δαπανών προηγ. χρήσεων</t>
  </si>
  <si>
    <t>Μείον :</t>
  </si>
  <si>
    <t>2. Έκτακτες ζημιές</t>
  </si>
  <si>
    <t>Η ΠΡΟΪΣΤΑΜΕΝΗ ΟΙΚΟΝΟΜΙΚΟΥ ΤΜΗΜΑΤΟΣ</t>
  </si>
  <si>
    <t>Ο ΣΥΝΤΑΞΑΣ ΟΙΚΟΝΟΜΙΚΟΣ ΣΥΜΒΟΥΛΟΣ</t>
  </si>
  <si>
    <t>3 .Έξοδα προηγούμενων χρήσεων</t>
  </si>
  <si>
    <t xml:space="preserve">Οργανικά και Έκτακτα Αποτελέσματα (πλεόνασμα / έλλειμμα) </t>
  </si>
  <si>
    <t xml:space="preserve">            Σύνολο αποσβέσεων πάγιων στοιχείων</t>
  </si>
  <si>
    <r>
      <t xml:space="preserve">            </t>
    </r>
    <r>
      <rPr>
        <b/>
        <sz val="11"/>
        <color indexed="8"/>
        <rFont val="Arial Greek"/>
        <family val="0"/>
      </rPr>
      <t>Μείον :</t>
    </r>
    <r>
      <rPr>
        <sz val="11"/>
        <rFont val="Arial Greek"/>
        <family val="0"/>
      </rPr>
      <t xml:space="preserve"> Οι από αυτές ενσωματωμένες</t>
    </r>
  </si>
  <si>
    <t>ΠΑΠΠΟΥ ΒΑΣΙΛΙΚΗ</t>
  </si>
  <si>
    <t xml:space="preserve">                        στο λειτουργικό κόστος</t>
  </si>
  <si>
    <t>Α.Δ.Τ. Ξ  682232</t>
  </si>
  <si>
    <t xml:space="preserve">ΚΑΘΑΡΑ ΑΠΟΤΕΛΕΣΜΑΤΑ (πλεόνασμα / έλλειμμα) ΧΡΗΣΕΩΣ </t>
  </si>
  <si>
    <t>Προερχόμενα: Από λειτουργική δραστηριότητα</t>
  </si>
  <si>
    <t xml:space="preserve">                     Από επιχορηγήσεις για κάλυψη ελλειμμάτων προηγ. χρήσεων</t>
  </si>
  <si>
    <t>1. Λοιπά έξοδα εγκαταστάσεως</t>
  </si>
  <si>
    <t>2. Γήπεδα-Οικόπεδα Αποσβέσεις</t>
  </si>
  <si>
    <t>8.Επιχορηγησεις Επενδύσεων</t>
  </si>
  <si>
    <t>ΥΠΟΛΟΙΠΑ ΤΗΝ 31/12/2010</t>
  </si>
  <si>
    <t>ΠΡΟΒΛΕΨΗ</t>
  </si>
  <si>
    <t>ΜΠΗΚΑΝ ΕΣΟΔΑ &amp; ΕΞΟΔΑ</t>
  </si>
  <si>
    <t>ΜΙΣΘΩΜΑΤΑ ΠΟΥ ΕΙΣΠΡΑΧΘΗΚΑΝ</t>
  </si>
  <si>
    <t>ΕΝΟΙΚΙΑ ΠΟΥ ΕΠΡΕΠΕ ΝΑ ΕΙΣΠΡΑΧΘΟΥΝ ΚΑΙ ΔΙΕΚΔΙΚΟΥΝΤΑΙ(ΕΛΕΥΘΕΡΟΥΔΑΚΗΣ-ΕΣΤΙΑΤΟΡΙΟ)</t>
  </si>
  <si>
    <t>ΕΞΟΔΑ ΠΑΡΕΛΘΟΝΤΩΝ ΕΤΩΝ</t>
  </si>
  <si>
    <t>ΕΠΙΧΟΡΗΓΗΣΕΙΣ ΓΙΑ ΠΑΡΕΛΘΟΝΤΑ ΕΤΗ</t>
  </si>
  <si>
    <t>ΕΠΙΧΟΡΗΓΗΣΕΙΣ ΤΡΕΧΟΥΣΑΣ ΧΡΗΣΗΣ</t>
  </si>
  <si>
    <t>ΟΜΟΛΟΓΑ</t>
  </si>
  <si>
    <t>Ε.ΜΕΤΑΒΑΤΙΚΟΙ ΛΟΓΑΡΙΑΣΜΟΙ ΠΑΘΗΤΙΚΟΥ</t>
  </si>
  <si>
    <t>73.00.00</t>
  </si>
  <si>
    <t>73.04.013149</t>
  </si>
  <si>
    <t>73.04.01.3149</t>
  </si>
  <si>
    <t>73.03.003139</t>
  </si>
  <si>
    <t>73.04.023149</t>
  </si>
  <si>
    <t>73.01.000000</t>
  </si>
  <si>
    <t>75.20.09</t>
  </si>
  <si>
    <t>ΕΠΙΧΟΡΗΓΗΣΕΙΣ ΓΙΑ ΛΟΙΠΟΥΣ ΣΚΟΠΟΥΣ</t>
  </si>
  <si>
    <t>74.00.02</t>
  </si>
  <si>
    <t>74.09.09</t>
  </si>
  <si>
    <t>73.04.00</t>
  </si>
  <si>
    <t>75.20.11</t>
  </si>
  <si>
    <t>75.20.11+75.05.09</t>
  </si>
  <si>
    <t xml:space="preserve">ΤΕΛΩΝΕΙΟ </t>
  </si>
  <si>
    <t>ΤΟΚΟΙ- ΠΡΟΣΤΙΜΑ</t>
  </si>
  <si>
    <t>76-72</t>
  </si>
  <si>
    <t>73.00.00.</t>
  </si>
  <si>
    <t>73.04.02</t>
  </si>
  <si>
    <t>73.04.01</t>
  </si>
  <si>
    <t>της   31ης Δεκεμβρίου 2010 ( 1 Ιανουαρίου - 31 Δεκεμβρίου 2010)</t>
  </si>
  <si>
    <t>7. Πάγια για λογαργιασμό τρίτων</t>
  </si>
  <si>
    <t>ΔΗΜΟΠΟΥΛΟΣ ΒΑΣΙΛΕΙΟΣ</t>
  </si>
  <si>
    <t>ΜΑΡΓΙΩΛΟΣ ΔΗΜΗΤΡΙΟΣ</t>
  </si>
  <si>
    <t>ΑΡ.ΑΔΕΙΑΣ Ο.Ε.Ε. …….. Α' ΤΑΞΗΣ</t>
  </si>
  <si>
    <t>ΑΔΤ Χ-293343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</si>
</sst>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 Greek"/>
      <family val="0"/>
    </font>
    <font>
      <sz val="11"/>
      <color indexed="8"/>
      <name val="Calibri"/>
      <family val="2"/>
    </font>
    <font>
      <u val="single"/>
      <sz val="10"/>
      <name val="Arial Greek"/>
      <family val="2"/>
    </font>
    <font>
      <sz val="11"/>
      <name val="Arial Greek"/>
      <family val="2"/>
    </font>
    <font>
      <b/>
      <sz val="11"/>
      <name val="Arial Greek"/>
      <family val="0"/>
    </font>
    <font>
      <b/>
      <u val="single"/>
      <sz val="11"/>
      <name val="Arial Greek"/>
      <family val="0"/>
    </font>
    <font>
      <b/>
      <sz val="10"/>
      <name val="Arial Greek"/>
      <family val="0"/>
    </font>
    <font>
      <i/>
      <sz val="14"/>
      <name val="Arial Greek"/>
      <family val="2"/>
    </font>
    <font>
      <b/>
      <u val="single"/>
      <sz val="10"/>
      <name val="Arial Greek"/>
      <family val="0"/>
    </font>
    <font>
      <sz val="16"/>
      <name val="Arial Greek"/>
      <family val="2"/>
    </font>
    <font>
      <i/>
      <sz val="10"/>
      <name val="Arial Greek"/>
      <family val="0"/>
    </font>
    <font>
      <b/>
      <u val="single"/>
      <sz val="9"/>
      <name val="Arial"/>
      <family val="2"/>
    </font>
    <font>
      <b/>
      <i/>
      <u val="single"/>
      <sz val="10"/>
      <name val="Arial Greek"/>
      <family val="0"/>
    </font>
    <font>
      <i/>
      <sz val="16"/>
      <name val="Arial Greek"/>
      <family val="0"/>
    </font>
    <font>
      <b/>
      <i/>
      <sz val="10"/>
      <name val="Arial Greek"/>
      <family val="0"/>
    </font>
    <font>
      <sz val="8"/>
      <name val="Arial Greek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20"/>
      <name val="Arial Black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 Greek"/>
      <family val="0"/>
    </font>
    <font>
      <sz val="11"/>
      <name val="Basket"/>
      <family val="0"/>
    </font>
    <font>
      <b/>
      <i/>
      <sz val="11"/>
      <name val="Arial Greek"/>
      <family val="0"/>
    </font>
    <font>
      <b/>
      <sz val="11"/>
      <color indexed="8"/>
      <name val="Arial Greek"/>
      <family val="0"/>
    </font>
    <font>
      <sz val="11"/>
      <color indexed="8"/>
      <name val="Arial Greek"/>
      <family val="0"/>
    </font>
    <font>
      <sz val="10"/>
      <color indexed="15"/>
      <name val="Arial Greek"/>
      <family val="0"/>
    </font>
    <font>
      <sz val="10"/>
      <color indexed="11"/>
      <name val="Arial Greek"/>
      <family val="0"/>
    </font>
    <font>
      <b/>
      <sz val="11"/>
      <color indexed="1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38" fillId="15" borderId="0" applyNumberFormat="0" applyBorder="0" applyAlignment="0" applyProtection="0"/>
    <xf numFmtId="0" fontId="42" fillId="16" borderId="1" applyNumberFormat="0" applyAlignment="0" applyProtection="0"/>
    <xf numFmtId="0" fontId="44" fillId="17" borderId="2" applyNumberFormat="0" applyAlignment="0" applyProtection="0"/>
    <xf numFmtId="0" fontId="45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1" fillId="16" borderId="8" applyNumberFormat="0" applyAlignment="0" applyProtection="0"/>
    <xf numFmtId="0" fontId="3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7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5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3" fontId="3" fillId="0" borderId="16" xfId="56" applyNumberFormat="1" applyFont="1" applyBorder="1" applyAlignment="1">
      <alignment vertical="center"/>
      <protection/>
    </xf>
    <xf numFmtId="3" fontId="3" fillId="0" borderId="17" xfId="56" applyNumberFormat="1" applyFont="1" applyBorder="1" applyAlignment="1">
      <alignment vertical="center"/>
      <protection/>
    </xf>
    <xf numFmtId="4" fontId="3" fillId="0" borderId="17" xfId="56" applyNumberFormat="1" applyFont="1" applyFill="1" applyBorder="1" applyAlignment="1">
      <alignment vertical="center"/>
      <protection/>
    </xf>
    <xf numFmtId="3" fontId="3" fillId="0" borderId="17" xfId="56" applyNumberFormat="1" applyFont="1" applyFill="1" applyBorder="1" applyAlignment="1">
      <alignment vertical="center"/>
      <protection/>
    </xf>
    <xf numFmtId="4" fontId="19" fillId="0" borderId="17" xfId="0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4" fontId="3" fillId="0" borderId="17" xfId="56" applyNumberFormat="1" applyFont="1" applyBorder="1" applyAlignment="1">
      <alignment vertical="center"/>
      <protection/>
    </xf>
    <xf numFmtId="3" fontId="3" fillId="0" borderId="18" xfId="56" applyNumberFormat="1" applyFont="1" applyBorder="1" applyAlignment="1">
      <alignment vertical="center"/>
      <protection/>
    </xf>
    <xf numFmtId="0" fontId="19" fillId="0" borderId="0" xfId="0" applyFont="1" applyAlignment="1">
      <alignment vertical="center"/>
    </xf>
    <xf numFmtId="3" fontId="3" fillId="0" borderId="19" xfId="56" applyNumberFormat="1" applyFont="1" applyBorder="1" applyAlignment="1">
      <alignment vertical="center"/>
      <protection/>
    </xf>
    <xf numFmtId="3" fontId="3" fillId="0" borderId="0" xfId="56" applyNumberFormat="1" applyFont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3" fontId="16" fillId="0" borderId="0" xfId="56" applyNumberFormat="1" applyFont="1" applyBorder="1" applyAlignment="1">
      <alignment vertical="center"/>
      <protection/>
    </xf>
    <xf numFmtId="3" fontId="21" fillId="0" borderId="0" xfId="56" applyNumberFormat="1" applyFont="1" applyBorder="1" applyAlignment="1">
      <alignment vertical="center"/>
      <protection/>
    </xf>
    <xf numFmtId="3" fontId="3" fillId="0" borderId="20" xfId="56" applyNumberFormat="1" applyFont="1" applyBorder="1" applyAlignment="1">
      <alignment vertical="center"/>
      <protection/>
    </xf>
    <xf numFmtId="3" fontId="22" fillId="0" borderId="0" xfId="56" applyNumberFormat="1" applyFont="1" applyFill="1" applyBorder="1" applyAlignment="1">
      <alignment vertical="center"/>
      <protection/>
    </xf>
    <xf numFmtId="4" fontId="3" fillId="0" borderId="0" xfId="56" applyNumberFormat="1" applyFont="1" applyBorder="1" applyAlignment="1">
      <alignment vertical="center"/>
      <protection/>
    </xf>
    <xf numFmtId="0" fontId="23" fillId="0" borderId="0" xfId="0" applyFont="1" applyBorder="1" applyAlignment="1">
      <alignment vertical="center"/>
    </xf>
    <xf numFmtId="3" fontId="24" fillId="0" borderId="0" xfId="56" applyNumberFormat="1" applyFont="1" applyFill="1" applyBorder="1" applyAlignment="1">
      <alignment vertical="center"/>
      <protection/>
    </xf>
    <xf numFmtId="4" fontId="24" fillId="0" borderId="0" xfId="56" applyNumberFormat="1" applyFont="1" applyFill="1" applyBorder="1" applyAlignment="1">
      <alignment vertical="center"/>
      <protection/>
    </xf>
    <xf numFmtId="3" fontId="3" fillId="0" borderId="21" xfId="56" applyNumberFormat="1" applyFont="1" applyBorder="1" applyAlignment="1">
      <alignment vertical="center"/>
      <protection/>
    </xf>
    <xf numFmtId="0" fontId="20" fillId="0" borderId="22" xfId="0" applyFont="1" applyBorder="1" applyAlignment="1">
      <alignment horizontal="center" vertical="center"/>
    </xf>
    <xf numFmtId="3" fontId="3" fillId="0" borderId="22" xfId="56" applyNumberFormat="1" applyFont="1" applyBorder="1" applyAlignment="1">
      <alignment vertical="center"/>
      <protection/>
    </xf>
    <xf numFmtId="4" fontId="24" fillId="0" borderId="22" xfId="56" applyNumberFormat="1" applyFont="1" applyFill="1" applyBorder="1" applyAlignment="1">
      <alignment vertical="center"/>
      <protection/>
    </xf>
    <xf numFmtId="4" fontId="3" fillId="0" borderId="22" xfId="56" applyNumberFormat="1" applyFont="1" applyBorder="1" applyAlignment="1">
      <alignment vertical="center"/>
      <protection/>
    </xf>
    <xf numFmtId="3" fontId="3" fillId="0" borderId="23" xfId="56" applyNumberFormat="1" applyFont="1" applyBorder="1" applyAlignment="1">
      <alignment vertical="center"/>
      <protection/>
    </xf>
    <xf numFmtId="3" fontId="3" fillId="0" borderId="19" xfId="56" applyNumberFormat="1" applyFont="1" applyBorder="1" applyAlignment="1">
      <alignment vertical="center"/>
      <protection/>
    </xf>
    <xf numFmtId="3" fontId="4" fillId="0" borderId="0" xfId="56" applyNumberFormat="1" applyFont="1" applyBorder="1" applyAlignment="1">
      <alignment vertical="center"/>
      <protection/>
    </xf>
    <xf numFmtId="3" fontId="3" fillId="0" borderId="0" xfId="56" applyNumberFormat="1" applyFont="1" applyBorder="1" applyAlignment="1">
      <alignment vertical="center"/>
      <protection/>
    </xf>
    <xf numFmtId="4" fontId="3" fillId="0" borderId="0" xfId="56" applyNumberFormat="1" applyFont="1" applyFill="1" applyBorder="1" applyAlignment="1">
      <alignment vertical="center"/>
      <protection/>
    </xf>
    <xf numFmtId="3" fontId="3" fillId="0" borderId="0" xfId="56" applyNumberFormat="1" applyFont="1" applyFill="1" applyBorder="1" applyAlignment="1">
      <alignment vertical="center"/>
      <protection/>
    </xf>
    <xf numFmtId="3" fontId="4" fillId="0" borderId="0" xfId="56" applyNumberFormat="1" applyFont="1" applyFill="1" applyBorder="1" applyAlignment="1">
      <alignment vertical="center"/>
      <protection/>
    </xf>
    <xf numFmtId="3" fontId="4" fillId="0" borderId="0" xfId="56" applyNumberFormat="1" applyFont="1" applyBorder="1" applyAlignment="1">
      <alignment horizontal="center" vertical="center" wrapText="1"/>
      <protection/>
    </xf>
    <xf numFmtId="4" fontId="4" fillId="0" borderId="24" xfId="56" applyNumberFormat="1" applyFont="1" applyBorder="1" applyAlignment="1">
      <alignment horizontal="center" vertical="center" wrapText="1"/>
      <protection/>
    </xf>
    <xf numFmtId="3" fontId="3" fillId="0" borderId="20" xfId="56" applyNumberFormat="1" applyFont="1" applyBorder="1" applyAlignment="1">
      <alignment vertical="center"/>
      <protection/>
    </xf>
    <xf numFmtId="4" fontId="3" fillId="0" borderId="0" xfId="56" applyNumberFormat="1" applyFont="1" applyBorder="1" applyAlignment="1">
      <alignment vertical="center"/>
      <protection/>
    </xf>
    <xf numFmtId="4" fontId="3" fillId="0" borderId="20" xfId="56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4" fontId="19" fillId="0" borderId="0" xfId="0" applyNumberFormat="1" applyFont="1" applyBorder="1" applyAlignment="1" applyProtection="1">
      <alignment horizontal="right"/>
      <protection/>
    </xf>
    <xf numFmtId="0" fontId="2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4" fillId="0" borderId="25" xfId="56" applyNumberFormat="1" applyFont="1" applyBorder="1" applyAlignment="1">
      <alignment vertical="center"/>
      <protection/>
    </xf>
    <xf numFmtId="4" fontId="2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26" xfId="56" applyNumberFormat="1" applyFont="1" applyBorder="1" applyAlignment="1">
      <alignment vertical="center"/>
      <protection/>
    </xf>
    <xf numFmtId="3" fontId="25" fillId="0" borderId="0" xfId="56" applyNumberFormat="1" applyFont="1" applyBorder="1" applyAlignment="1">
      <alignment vertical="center"/>
      <protection/>
    </xf>
    <xf numFmtId="4" fontId="3" fillId="0" borderId="0" xfId="56" applyNumberFormat="1" applyFont="1" applyBorder="1" applyAlignment="1">
      <alignment horizontal="right" vertical="center"/>
      <protection/>
    </xf>
    <xf numFmtId="0" fontId="3" fillId="0" borderId="0" xfId="57" applyFont="1" applyBorder="1" applyAlignment="1">
      <alignment vertical="center"/>
      <protection/>
    </xf>
    <xf numFmtId="3" fontId="3" fillId="0" borderId="0" xfId="56" applyNumberFormat="1" applyFont="1" applyBorder="1" applyAlignment="1">
      <alignment vertical="center" wrapText="1"/>
      <protection/>
    </xf>
    <xf numFmtId="4" fontId="3" fillId="0" borderId="24" xfId="56" applyNumberFormat="1" applyFont="1" applyBorder="1" applyAlignment="1">
      <alignment vertical="center"/>
      <protection/>
    </xf>
    <xf numFmtId="4" fontId="3" fillId="0" borderId="25" xfId="56" applyNumberFormat="1" applyFont="1" applyBorder="1" applyAlignment="1">
      <alignment vertical="center"/>
      <protection/>
    </xf>
    <xf numFmtId="4" fontId="4" fillId="0" borderId="26" xfId="56" applyNumberFormat="1" applyFont="1" applyBorder="1" applyAlignment="1">
      <alignment vertical="center"/>
      <protection/>
    </xf>
    <xf numFmtId="4" fontId="3" fillId="0" borderId="26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4" fillId="0" borderId="0" xfId="56" applyNumberFormat="1" applyFont="1" applyBorder="1" applyAlignment="1">
      <alignment vertical="center"/>
      <protection/>
    </xf>
    <xf numFmtId="4" fontId="4" fillId="0" borderId="26" xfId="56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left" vertical="center"/>
    </xf>
    <xf numFmtId="3" fontId="3" fillId="0" borderId="21" xfId="56" applyNumberFormat="1" applyFont="1" applyBorder="1" applyAlignment="1">
      <alignment vertical="center"/>
      <protection/>
    </xf>
    <xf numFmtId="3" fontId="3" fillId="0" borderId="22" xfId="56" applyNumberFormat="1" applyFont="1" applyBorder="1" applyAlignment="1">
      <alignment vertical="center"/>
      <protection/>
    </xf>
    <xf numFmtId="3" fontId="3" fillId="0" borderId="23" xfId="56" applyNumberFormat="1" applyFont="1" applyBorder="1" applyAlignment="1">
      <alignment vertical="center"/>
      <protection/>
    </xf>
    <xf numFmtId="3" fontId="5" fillId="0" borderId="0" xfId="56" applyNumberFormat="1" applyFont="1" applyFill="1" applyBorder="1" applyAlignment="1">
      <alignment vertical="center"/>
      <protection/>
    </xf>
    <xf numFmtId="4" fontId="4" fillId="0" borderId="19" xfId="0" applyNumberFormat="1" applyFont="1" applyFill="1" applyBorder="1" applyAlignment="1">
      <alignment vertical="center" wrapText="1"/>
    </xf>
    <xf numFmtId="4" fontId="24" fillId="0" borderId="20" xfId="0" applyNumberFormat="1" applyFont="1" applyFill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3" fontId="3" fillId="0" borderId="16" xfId="56" applyNumberFormat="1" applyFont="1" applyBorder="1" applyAlignment="1">
      <alignment vertical="center"/>
      <protection/>
    </xf>
    <xf numFmtId="0" fontId="4" fillId="0" borderId="18" xfId="0" applyFont="1" applyBorder="1" applyAlignment="1">
      <alignment horizontal="center" vertical="center" wrapText="1"/>
    </xf>
    <xf numFmtId="3" fontId="3" fillId="0" borderId="17" xfId="56" applyNumberFormat="1" applyFont="1" applyBorder="1" applyAlignment="1">
      <alignment vertical="center"/>
      <protection/>
    </xf>
    <xf numFmtId="3" fontId="3" fillId="0" borderId="18" xfId="56" applyNumberFormat="1" applyFont="1" applyBorder="1" applyAlignment="1">
      <alignment vertical="center"/>
      <protection/>
    </xf>
    <xf numFmtId="0" fontId="4" fillId="0" borderId="23" xfId="0" applyFont="1" applyBorder="1" applyAlignment="1">
      <alignment horizontal="center" vertical="center" wrapText="1"/>
    </xf>
    <xf numFmtId="3" fontId="4" fillId="0" borderId="0" xfId="56" applyNumberFormat="1" applyFont="1" applyBorder="1" applyAlignment="1">
      <alignment vertical="center" wrapText="1"/>
      <protection/>
    </xf>
    <xf numFmtId="3" fontId="27" fillId="0" borderId="0" xfId="56" applyNumberFormat="1" applyFont="1" applyBorder="1" applyAlignment="1">
      <alignment vertical="center"/>
      <protection/>
    </xf>
    <xf numFmtId="0" fontId="3" fillId="0" borderId="2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56" applyNumberFormat="1" applyFont="1" applyBorder="1" applyAlignment="1">
      <alignment horizontal="right" vertical="center"/>
      <protection/>
    </xf>
    <xf numFmtId="4" fontId="3" fillId="0" borderId="27" xfId="56" applyNumberFormat="1" applyFont="1" applyBorder="1" applyAlignment="1">
      <alignment horizontal="right" vertical="center"/>
      <protection/>
    </xf>
    <xf numFmtId="0" fontId="19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" fontId="4" fillId="0" borderId="26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4" fontId="3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3" fontId="4" fillId="0" borderId="0" xfId="56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 horizontal="center" vertical="center" wrapText="1"/>
    </xf>
    <xf numFmtId="2" fontId="19" fillId="0" borderId="0" xfId="0" applyNumberFormat="1" applyFont="1" applyAlignment="1">
      <alignment vertical="center"/>
    </xf>
    <xf numFmtId="2" fontId="3" fillId="0" borderId="22" xfId="0" applyNumberFormat="1" applyFont="1" applyBorder="1" applyAlignment="1">
      <alignment vertical="center"/>
    </xf>
    <xf numFmtId="2" fontId="0" fillId="0" borderId="10" xfId="0" applyNumberFormat="1" applyBorder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4" fontId="6" fillId="18" borderId="10" xfId="0" applyNumberFormat="1" applyFont="1" applyFill="1" applyBorder="1" applyAlignment="1">
      <alignment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1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18" borderId="10" xfId="0" applyNumberFormat="1" applyFont="1" applyFill="1" applyBorder="1" applyAlignment="1">
      <alignment/>
    </xf>
    <xf numFmtId="2" fontId="0" fillId="18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19" borderId="10" xfId="0" applyNumberFormat="1" applyFont="1" applyFill="1" applyBorder="1" applyAlignment="1">
      <alignment/>
    </xf>
    <xf numFmtId="2" fontId="3" fillId="0" borderId="26" xfId="0" applyNumberFormat="1" applyFont="1" applyBorder="1" applyAlignment="1">
      <alignment vertical="center"/>
    </xf>
    <xf numFmtId="2" fontId="4" fillId="0" borderId="0" xfId="56" applyNumberFormat="1" applyFont="1" applyBorder="1" applyAlignment="1">
      <alignment vertical="center"/>
      <protection/>
    </xf>
    <xf numFmtId="2" fontId="3" fillId="0" borderId="0" xfId="56" applyNumberFormat="1" applyFont="1" applyFill="1" applyBorder="1" applyAlignment="1">
      <alignment vertical="center"/>
      <protection/>
    </xf>
    <xf numFmtId="4" fontId="2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2" fontId="18" fillId="16" borderId="10" xfId="0" applyNumberFormat="1" applyFont="1" applyFill="1" applyBorder="1" applyAlignment="1">
      <alignment horizontal="right" vertical="center" wrapText="1"/>
    </xf>
    <xf numFmtId="2" fontId="17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3" fillId="0" borderId="0" xfId="56" applyNumberFormat="1" applyFont="1" applyBorder="1" applyAlignment="1">
      <alignment vertical="center"/>
      <protection/>
    </xf>
    <xf numFmtId="2" fontId="18" fillId="0" borderId="10" xfId="0" applyNumberFormat="1" applyFont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center" vertical="center" wrapText="1"/>
    </xf>
    <xf numFmtId="4" fontId="32" fillId="0" borderId="0" xfId="0" applyNumberFormat="1" applyFont="1" applyFill="1" applyBorder="1" applyAlignment="1" applyProtection="1">
      <alignment horizontal="right"/>
      <protection/>
    </xf>
    <xf numFmtId="4" fontId="19" fillId="0" borderId="26" xfId="0" applyNumberFormat="1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4" fontId="0" fillId="0" borderId="26" xfId="0" applyNumberFormat="1" applyFont="1" applyBorder="1" applyAlignment="1">
      <alignment/>
    </xf>
    <xf numFmtId="4" fontId="3" fillId="0" borderId="20" xfId="56" applyNumberFormat="1" applyFont="1" applyFill="1" applyBorder="1" applyAlignment="1">
      <alignment vertical="center"/>
      <protection/>
    </xf>
    <xf numFmtId="4" fontId="4" fillId="0" borderId="20" xfId="56" applyNumberFormat="1" applyFont="1" applyBorder="1" applyAlignment="1">
      <alignment horizontal="center" vertical="center"/>
      <protection/>
    </xf>
    <xf numFmtId="4" fontId="4" fillId="0" borderId="20" xfId="56" applyNumberFormat="1" applyFont="1" applyBorder="1" applyAlignment="1">
      <alignment horizontal="center" vertical="center" wrapText="1"/>
      <protection/>
    </xf>
    <xf numFmtId="4" fontId="3" fillId="0" borderId="20" xfId="0" applyNumberFormat="1" applyFont="1" applyBorder="1" applyAlignment="1">
      <alignment vertical="center"/>
    </xf>
    <xf numFmtId="4" fontId="4" fillId="0" borderId="20" xfId="56" applyNumberFormat="1" applyFont="1" applyBorder="1" applyAlignment="1">
      <alignment vertical="center"/>
      <protection/>
    </xf>
    <xf numFmtId="4" fontId="4" fillId="0" borderId="11" xfId="56" applyNumberFormat="1" applyFont="1" applyBorder="1" applyAlignment="1">
      <alignment horizontal="center" vertical="center" wrapText="1"/>
      <protection/>
    </xf>
    <xf numFmtId="4" fontId="4" fillId="0" borderId="28" xfId="56" applyNumberFormat="1" applyFont="1" applyBorder="1" applyAlignment="1">
      <alignment vertical="center"/>
      <protection/>
    </xf>
    <xf numFmtId="4" fontId="4" fillId="0" borderId="29" xfId="56" applyNumberFormat="1" applyFont="1" applyBorder="1" applyAlignment="1">
      <alignment vertical="center"/>
      <protection/>
    </xf>
    <xf numFmtId="4" fontId="4" fillId="0" borderId="30" xfId="56" applyNumberFormat="1" applyFont="1" applyBorder="1" applyAlignment="1">
      <alignment vertical="center"/>
      <protection/>
    </xf>
    <xf numFmtId="4" fontId="4" fillId="0" borderId="17" xfId="56" applyNumberFormat="1" applyFont="1" applyFill="1" applyBorder="1" applyAlignment="1">
      <alignment vertical="center"/>
      <protection/>
    </xf>
    <xf numFmtId="3" fontId="4" fillId="0" borderId="17" xfId="56" applyNumberFormat="1" applyFont="1" applyFill="1" applyBorder="1" applyAlignment="1">
      <alignment vertical="center"/>
      <protection/>
    </xf>
    <xf numFmtId="4" fontId="4" fillId="0" borderId="31" xfId="56" applyNumberFormat="1" applyFont="1" applyFill="1" applyBorder="1" applyAlignment="1">
      <alignment vertical="center"/>
      <protection/>
    </xf>
    <xf numFmtId="4" fontId="24" fillId="0" borderId="0" xfId="0" applyNumberFormat="1" applyFont="1" applyBorder="1" applyAlignment="1" applyProtection="1">
      <alignment horizontal="right"/>
      <protection/>
    </xf>
    <xf numFmtId="4" fontId="24" fillId="0" borderId="0" xfId="0" applyNumberFormat="1" applyFont="1" applyBorder="1" applyAlignment="1">
      <alignment vertical="center"/>
    </xf>
    <xf numFmtId="4" fontId="24" fillId="0" borderId="30" xfId="0" applyNumberFormat="1" applyFont="1" applyBorder="1" applyAlignment="1">
      <alignment vertical="center"/>
    </xf>
    <xf numFmtId="4" fontId="4" fillId="0" borderId="3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4" fontId="4" fillId="0" borderId="0" xfId="56" applyNumberFormat="1" applyFont="1" applyFill="1" applyBorder="1" applyAlignment="1">
      <alignment vertical="center"/>
      <protection/>
    </xf>
    <xf numFmtId="4" fontId="4" fillId="0" borderId="30" xfId="56" applyNumberFormat="1" applyFont="1" applyFill="1" applyBorder="1" applyAlignment="1">
      <alignment vertical="center"/>
      <protection/>
    </xf>
    <xf numFmtId="2" fontId="19" fillId="0" borderId="25" xfId="0" applyNumberFormat="1" applyFont="1" applyBorder="1" applyAlignment="1">
      <alignment vertical="center"/>
    </xf>
    <xf numFmtId="2" fontId="19" fillId="0" borderId="26" xfId="0" applyNumberFormat="1" applyFont="1" applyBorder="1" applyAlignment="1">
      <alignment vertical="center"/>
    </xf>
    <xf numFmtId="4" fontId="19" fillId="0" borderId="25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56" applyNumberFormat="1" applyFont="1" applyBorder="1" applyAlignment="1">
      <alignment horizontal="center" vertical="center" wrapText="1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4" fontId="4" fillId="0" borderId="24" xfId="56" applyNumberFormat="1" applyFont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3" fontId="24" fillId="0" borderId="0" xfId="56" applyNumberFormat="1" applyFont="1" applyFill="1" applyBorder="1" applyAlignment="1">
      <alignment horizontal="center" vertical="center"/>
      <protection/>
    </xf>
    <xf numFmtId="3" fontId="24" fillId="0" borderId="22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Border="1" applyAlignment="1">
      <alignment horizontal="right" vertical="center" wrapText="1"/>
      <protection/>
    </xf>
    <xf numFmtId="0" fontId="3" fillId="0" borderId="0" xfId="0" applyFont="1" applyBorder="1" applyAlignment="1">
      <alignment horizontal="right" vertical="center" wrapText="1"/>
    </xf>
    <xf numFmtId="4" fontId="4" fillId="0" borderId="24" xfId="56" applyNumberFormat="1" applyFont="1" applyBorder="1" applyAlignment="1">
      <alignment horizontal="center" vertical="center"/>
      <protection/>
    </xf>
    <xf numFmtId="4" fontId="4" fillId="0" borderId="11" xfId="56" applyNumberFormat="1" applyFont="1" applyBorder="1" applyAlignment="1">
      <alignment horizontal="center" vertical="center"/>
      <protection/>
    </xf>
    <xf numFmtId="3" fontId="16" fillId="0" borderId="0" xfId="56" applyNumberFormat="1" applyFont="1" applyBorder="1" applyAlignment="1">
      <alignment horizontal="center" vertical="center"/>
      <protection/>
    </xf>
    <xf numFmtId="3" fontId="22" fillId="0" borderId="0" xfId="56" applyNumberFormat="1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Βασικό_ΑΘΑΝΑΣΙΑΔΗΣ 1996" xfId="56"/>
    <cellStyle name="Βασικό_Σελίδες128-129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2</xdr:col>
      <xdr:colOff>523875</xdr:colOff>
      <xdr:row>3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0</xdr:row>
      <xdr:rowOff>95250</xdr:rowOff>
    </xdr:from>
    <xdr:to>
      <xdr:col>7</xdr:col>
      <xdr:colOff>800100</xdr:colOff>
      <xdr:row>4</xdr:row>
      <xdr:rowOff>9525</xdr:rowOff>
    </xdr:to>
    <xdr:pic>
      <xdr:nvPicPr>
        <xdr:cNvPr id="2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95250"/>
          <a:ext cx="1847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tabSelected="1" zoomScale="75" zoomScaleNormal="75" zoomScalePageLayoutView="0" workbookViewId="0" topLeftCell="G3">
      <selection activeCell="L83" sqref="L83"/>
    </sheetView>
  </sheetViews>
  <sheetFormatPr defaultColWidth="9.125" defaultRowHeight="12.75"/>
  <cols>
    <col min="1" max="1" width="1.625" style="78" customWidth="1"/>
    <col min="2" max="2" width="2.50390625" style="78" customWidth="1"/>
    <col min="3" max="3" width="21.125" style="78" customWidth="1"/>
    <col min="4" max="4" width="36.625" style="78" customWidth="1"/>
    <col min="5" max="5" width="1.875" style="78" customWidth="1"/>
    <col min="6" max="6" width="18.00390625" style="78" customWidth="1"/>
    <col min="7" max="7" width="5.375" style="78" customWidth="1"/>
    <col min="8" max="8" width="20.50390625" style="78" customWidth="1"/>
    <col min="9" max="9" width="0.875" style="78" customWidth="1"/>
    <col min="10" max="10" width="18.375" style="78" customWidth="1"/>
    <col min="11" max="11" width="0.875" style="78" customWidth="1"/>
    <col min="12" max="12" width="16.50390625" style="78" customWidth="1"/>
    <col min="13" max="13" width="0.875" style="78" customWidth="1"/>
    <col min="14" max="14" width="19.625" style="78" customWidth="1"/>
    <col min="15" max="15" width="0.875" style="78" customWidth="1"/>
    <col min="16" max="16" width="23.375" style="78" customWidth="1"/>
    <col min="17" max="18" width="0.875" style="78" customWidth="1"/>
    <col min="19" max="19" width="2.875" style="78" customWidth="1"/>
    <col min="20" max="20" width="4.375" style="78" customWidth="1"/>
    <col min="21" max="21" width="16.50390625" style="78" customWidth="1"/>
    <col min="22" max="22" width="13.50390625" style="78" customWidth="1"/>
    <col min="23" max="23" width="12.375" style="78" customWidth="1"/>
    <col min="24" max="24" width="11.875" style="78" customWidth="1"/>
    <col min="25" max="25" width="23.875" style="78" customWidth="1"/>
    <col min="26" max="26" width="1.625" style="78" customWidth="1"/>
    <col min="27" max="27" width="49.125" style="78" customWidth="1"/>
    <col min="28" max="28" width="0.875" style="78" customWidth="1"/>
    <col min="29" max="16384" width="9.125" style="78" customWidth="1"/>
  </cols>
  <sheetData>
    <row r="1" spans="1:28" ht="13.5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73"/>
      <c r="N1" s="72" t="s">
        <v>66</v>
      </c>
      <c r="O1" s="73"/>
      <c r="P1" s="74"/>
      <c r="Q1" s="74"/>
      <c r="R1" s="75"/>
      <c r="S1" s="73"/>
      <c r="T1" s="73"/>
      <c r="U1" s="73"/>
      <c r="V1" s="73"/>
      <c r="W1" s="71"/>
      <c r="X1" s="71"/>
      <c r="Y1" s="71"/>
      <c r="Z1" s="71"/>
      <c r="AA1" s="76"/>
      <c r="AB1" s="77"/>
    </row>
    <row r="2" spans="1:28" ht="15" customHeight="1">
      <c r="A2" s="79"/>
      <c r="B2" s="80"/>
      <c r="C2" s="81" t="s">
        <v>186</v>
      </c>
      <c r="D2" s="80"/>
      <c r="E2" s="80"/>
      <c r="F2" s="250" t="s">
        <v>187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82"/>
      <c r="Z2" s="83"/>
      <c r="AA2" s="83"/>
      <c r="AB2" s="84"/>
    </row>
    <row r="3" spans="1:28" ht="15" customHeight="1">
      <c r="A3" s="79"/>
      <c r="C3" s="81" t="s">
        <v>188</v>
      </c>
      <c r="E3" s="80"/>
      <c r="F3" s="251" t="s">
        <v>189</v>
      </c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85"/>
      <c r="Z3" s="80"/>
      <c r="AA3" s="86"/>
      <c r="AB3" s="84"/>
    </row>
    <row r="4" spans="1:28" ht="30">
      <c r="A4" s="79"/>
      <c r="E4" s="80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85"/>
      <c r="Z4" s="80"/>
      <c r="AA4" s="86"/>
      <c r="AB4" s="84"/>
    </row>
    <row r="5" spans="1:28" ht="13.5">
      <c r="A5" s="79"/>
      <c r="D5" s="87"/>
      <c r="E5" s="80"/>
      <c r="F5" s="244" t="s">
        <v>190</v>
      </c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88"/>
      <c r="Z5" s="80"/>
      <c r="AA5" s="86"/>
      <c r="AB5" s="84"/>
    </row>
    <row r="6" spans="1:28" ht="13.5">
      <c r="A6" s="79"/>
      <c r="D6" s="81"/>
      <c r="E6" s="80"/>
      <c r="F6" s="244" t="s">
        <v>191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88"/>
      <c r="Z6" s="80"/>
      <c r="AA6" s="86"/>
      <c r="AB6" s="84"/>
    </row>
    <row r="7" spans="1:28" ht="13.5">
      <c r="A7" s="79"/>
      <c r="D7" s="81"/>
      <c r="E7" s="80"/>
      <c r="F7" s="244" t="s">
        <v>192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89"/>
      <c r="Z7" s="80"/>
      <c r="AA7" s="86"/>
      <c r="AB7" s="84"/>
    </row>
    <row r="8" spans="1:28" ht="14.25" thickBot="1">
      <c r="A8" s="90"/>
      <c r="B8" s="91"/>
      <c r="C8" s="91"/>
      <c r="D8" s="91"/>
      <c r="E8" s="92"/>
      <c r="F8" s="245" t="s">
        <v>193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93"/>
      <c r="Z8" s="92"/>
      <c r="AA8" s="94"/>
      <c r="AB8" s="95"/>
    </row>
    <row r="9" spans="1:28" ht="13.5">
      <c r="A9" s="96"/>
      <c r="B9" s="97" t="s">
        <v>194</v>
      </c>
      <c r="C9" s="98"/>
      <c r="D9" s="98"/>
      <c r="E9" s="98"/>
      <c r="F9" s="98"/>
      <c r="G9" s="98"/>
      <c r="H9" s="98"/>
      <c r="I9" s="98"/>
      <c r="J9" s="98"/>
      <c r="K9" s="98"/>
      <c r="L9" s="218"/>
      <c r="M9" s="219"/>
      <c r="N9" s="218"/>
      <c r="O9" s="219"/>
      <c r="P9" s="220"/>
      <c r="Q9" s="209"/>
      <c r="R9" s="100"/>
      <c r="S9" s="100"/>
      <c r="T9" s="101"/>
      <c r="U9" s="100"/>
      <c r="V9" s="100"/>
      <c r="W9" s="98"/>
      <c r="X9" s="246" t="s">
        <v>195</v>
      </c>
      <c r="Y9" s="246"/>
      <c r="Z9" s="246"/>
      <c r="AA9" s="247"/>
      <c r="AB9" s="84"/>
    </row>
    <row r="10" spans="1:28" ht="15" customHeight="1">
      <c r="A10" s="96"/>
      <c r="B10" s="98"/>
      <c r="C10" s="98"/>
      <c r="D10" s="98"/>
      <c r="E10" s="98"/>
      <c r="F10" s="248" t="s">
        <v>196</v>
      </c>
      <c r="G10" s="248"/>
      <c r="H10" s="248"/>
      <c r="I10" s="248"/>
      <c r="J10" s="248"/>
      <c r="K10" s="98"/>
      <c r="L10" s="248" t="s">
        <v>197</v>
      </c>
      <c r="M10" s="248"/>
      <c r="N10" s="248"/>
      <c r="O10" s="248"/>
      <c r="P10" s="249"/>
      <c r="Q10" s="210"/>
      <c r="R10" s="98"/>
      <c r="S10" s="98"/>
      <c r="T10" s="98"/>
      <c r="U10" s="98"/>
      <c r="V10" s="98"/>
      <c r="W10" s="98"/>
      <c r="X10" s="98"/>
      <c r="Y10" s="234" t="s">
        <v>196</v>
      </c>
      <c r="Z10" s="98"/>
      <c r="AA10" s="234" t="s">
        <v>198</v>
      </c>
      <c r="AB10" s="84"/>
    </row>
    <row r="11" spans="1:28" ht="30.75" customHeight="1">
      <c r="A11" s="96"/>
      <c r="B11" s="98"/>
      <c r="C11" s="98"/>
      <c r="D11" s="98"/>
      <c r="E11" s="98"/>
      <c r="F11" s="103" t="s">
        <v>199</v>
      </c>
      <c r="G11" s="102"/>
      <c r="H11" s="103" t="s">
        <v>200</v>
      </c>
      <c r="I11" s="102"/>
      <c r="J11" s="103" t="s">
        <v>201</v>
      </c>
      <c r="K11" s="98"/>
      <c r="L11" s="103" t="s">
        <v>199</v>
      </c>
      <c r="M11" s="102"/>
      <c r="N11" s="103" t="s">
        <v>200</v>
      </c>
      <c r="O11" s="102"/>
      <c r="P11" s="214" t="s">
        <v>201</v>
      </c>
      <c r="Q11" s="211"/>
      <c r="R11" s="102"/>
      <c r="S11" s="98"/>
      <c r="T11" s="98"/>
      <c r="U11" s="98"/>
      <c r="V11" s="98"/>
      <c r="W11" s="98"/>
      <c r="X11" s="98"/>
      <c r="Y11" s="234"/>
      <c r="Z11" s="98"/>
      <c r="AA11" s="234"/>
      <c r="AB11" s="104"/>
    </row>
    <row r="12" spans="1:28" ht="18" customHeight="1">
      <c r="A12" s="96"/>
      <c r="B12" s="97" t="s">
        <v>202</v>
      </c>
      <c r="D12" s="98"/>
      <c r="E12" s="98"/>
      <c r="F12" s="105"/>
      <c r="G12" s="98"/>
      <c r="H12" s="105"/>
      <c r="I12" s="98"/>
      <c r="J12" s="105" t="s">
        <v>66</v>
      </c>
      <c r="K12" s="98"/>
      <c r="L12" s="126"/>
      <c r="M12" s="97"/>
      <c r="N12" s="126"/>
      <c r="O12" s="97"/>
      <c r="P12" s="217" t="s">
        <v>66</v>
      </c>
      <c r="Q12" s="106"/>
      <c r="R12" s="98"/>
      <c r="S12" s="98"/>
      <c r="T12" s="97" t="s">
        <v>203</v>
      </c>
      <c r="U12" s="107"/>
      <c r="V12" s="107"/>
      <c r="W12" s="107"/>
      <c r="X12" s="107"/>
      <c r="Y12" s="172"/>
      <c r="Z12" s="107"/>
      <c r="AA12" s="107"/>
      <c r="AB12" s="104"/>
    </row>
    <row r="13" spans="1:28" ht="18" customHeight="1">
      <c r="A13" s="96"/>
      <c r="B13" s="78" t="s">
        <v>204</v>
      </c>
      <c r="C13" s="98"/>
      <c r="D13" s="98"/>
      <c r="E13" s="98"/>
      <c r="F13" s="105">
        <v>2842998.32</v>
      </c>
      <c r="G13" s="98"/>
      <c r="H13" s="105">
        <v>1533587.25</v>
      </c>
      <c r="I13" s="108"/>
      <c r="J13" s="105">
        <f>+F13-H13</f>
        <v>1309411.0699999998</v>
      </c>
      <c r="K13" s="98"/>
      <c r="L13" s="126">
        <v>2781093.57</v>
      </c>
      <c r="M13" s="97"/>
      <c r="N13" s="126">
        <v>964987.59</v>
      </c>
      <c r="O13" s="221"/>
      <c r="P13" s="217">
        <f>+L13-N13</f>
        <v>1816105.98</v>
      </c>
      <c r="Q13" s="106"/>
      <c r="R13" s="98"/>
      <c r="S13" s="98"/>
      <c r="T13" s="109" t="s">
        <v>205</v>
      </c>
      <c r="U13" s="107"/>
      <c r="V13" s="107"/>
      <c r="W13" s="107"/>
      <c r="X13" s="107"/>
      <c r="Y13" s="172"/>
      <c r="Z13" s="110"/>
      <c r="AA13" s="110"/>
      <c r="AB13" s="104"/>
    </row>
    <row r="14" spans="1:28" ht="18" customHeight="1" thickBot="1">
      <c r="A14" s="96"/>
      <c r="B14" s="97"/>
      <c r="C14" s="98"/>
      <c r="D14" s="98"/>
      <c r="E14" s="98"/>
      <c r="F14" s="111">
        <f>SUM(F13)</f>
        <v>2842998.32</v>
      </c>
      <c r="G14" s="111">
        <f>SUM(G13)</f>
        <v>0</v>
      </c>
      <c r="H14" s="111">
        <f>SUM(H13)</f>
        <v>1533587.25</v>
      </c>
      <c r="I14" s="111">
        <f>SUM(I13)</f>
        <v>0</v>
      </c>
      <c r="J14" s="111">
        <f>SUM(J13)</f>
        <v>1309411.0699999998</v>
      </c>
      <c r="K14" s="97"/>
      <c r="L14" s="112">
        <f>SUM(L13)</f>
        <v>2781093.57</v>
      </c>
      <c r="M14" s="97"/>
      <c r="N14" s="112">
        <f>SUM(N13)</f>
        <v>964987.59</v>
      </c>
      <c r="O14" s="113"/>
      <c r="P14" s="215">
        <f>SUM(P13)</f>
        <v>1816105.98</v>
      </c>
      <c r="Q14" s="106"/>
      <c r="R14" s="98"/>
      <c r="S14" s="98"/>
      <c r="T14" s="114"/>
      <c r="U14" s="114" t="s">
        <v>206</v>
      </c>
      <c r="V14" s="114"/>
      <c r="W14" s="114"/>
      <c r="X14" s="114"/>
      <c r="Y14" s="230">
        <f>AA14</f>
        <v>59456465.37</v>
      </c>
      <c r="Z14" s="115"/>
      <c r="AA14" s="123">
        <v>59456465.37</v>
      </c>
      <c r="AB14" s="104"/>
    </row>
    <row r="15" spans="1:28" ht="18" customHeight="1" thickTop="1">
      <c r="A15" s="96"/>
      <c r="B15" s="97" t="s">
        <v>207</v>
      </c>
      <c r="C15" s="98"/>
      <c r="D15" s="98"/>
      <c r="E15" s="98"/>
      <c r="K15" s="98"/>
      <c r="L15" s="126"/>
      <c r="M15" s="97"/>
      <c r="N15" s="126"/>
      <c r="O15" s="97"/>
      <c r="P15" s="217"/>
      <c r="Q15" s="106"/>
      <c r="R15" s="98"/>
      <c r="S15" s="98"/>
      <c r="T15" s="107"/>
      <c r="U15" s="107"/>
      <c r="V15" s="107"/>
      <c r="W15" s="107"/>
      <c r="X15" s="107"/>
      <c r="Y15" s="172"/>
      <c r="Z15" s="110"/>
      <c r="AA15" s="110"/>
      <c r="AB15" s="104"/>
    </row>
    <row r="16" spans="1:28" ht="18" customHeight="1">
      <c r="A16" s="96"/>
      <c r="B16" s="117" t="s">
        <v>208</v>
      </c>
      <c r="C16" s="98"/>
      <c r="D16" s="98"/>
      <c r="E16" s="98"/>
      <c r="K16" s="105"/>
      <c r="L16" s="126"/>
      <c r="M16" s="126"/>
      <c r="N16" s="126"/>
      <c r="O16" s="126"/>
      <c r="P16" s="217"/>
      <c r="Q16" s="106"/>
      <c r="R16" s="98"/>
      <c r="S16" s="98"/>
      <c r="T16" s="117" t="s">
        <v>209</v>
      </c>
      <c r="U16" s="98"/>
      <c r="V16" s="98"/>
      <c r="W16" s="98"/>
      <c r="X16" s="98"/>
      <c r="Y16" s="172"/>
      <c r="Z16" s="105"/>
      <c r="AA16" s="105"/>
      <c r="AB16" s="104"/>
    </row>
    <row r="17" spans="1:28" ht="18" customHeight="1">
      <c r="A17" s="96"/>
      <c r="B17" s="98"/>
      <c r="C17" s="98" t="s">
        <v>210</v>
      </c>
      <c r="D17" s="98"/>
      <c r="E17" s="98"/>
      <c r="F17" s="105">
        <v>20712653.53</v>
      </c>
      <c r="G17" s="105"/>
      <c r="H17" s="118">
        <v>0</v>
      </c>
      <c r="I17" s="105"/>
      <c r="J17" s="105">
        <f>+F17</f>
        <v>20712653.53</v>
      </c>
      <c r="K17" s="105"/>
      <c r="L17" s="126">
        <v>20712653.53</v>
      </c>
      <c r="M17" s="126"/>
      <c r="N17" s="146">
        <v>0</v>
      </c>
      <c r="O17" s="126"/>
      <c r="P17" s="217">
        <f>+L17</f>
        <v>20712653.53</v>
      </c>
      <c r="Q17" s="106"/>
      <c r="R17" s="98"/>
      <c r="S17" s="98"/>
      <c r="T17" s="117" t="s">
        <v>211</v>
      </c>
      <c r="U17" s="98"/>
      <c r="V17" s="98"/>
      <c r="W17" s="98"/>
      <c r="X17" s="98"/>
      <c r="Y17" s="172"/>
      <c r="Z17" s="105"/>
      <c r="AA17" s="105" t="s">
        <v>66</v>
      </c>
      <c r="AB17" s="104"/>
    </row>
    <row r="18" spans="1:28" ht="18" customHeight="1">
      <c r="A18" s="96"/>
      <c r="B18" s="98"/>
      <c r="C18" s="98" t="s">
        <v>212</v>
      </c>
      <c r="D18" s="98"/>
      <c r="E18" s="98"/>
      <c r="F18" s="105">
        <v>31444858.38</v>
      </c>
      <c r="H18" s="111">
        <f>N18+1567862.79</f>
        <v>9399389.79</v>
      </c>
      <c r="J18" s="111">
        <f>F18-H18</f>
        <v>22045468.59</v>
      </c>
      <c r="K18" s="105"/>
      <c r="L18" s="126">
        <v>31444858.38</v>
      </c>
      <c r="M18" s="126"/>
      <c r="N18" s="221">
        <v>7831527</v>
      </c>
      <c r="O18" s="126"/>
      <c r="P18" s="217">
        <f>(L18-N18)</f>
        <v>23613331.38</v>
      </c>
      <c r="Q18" s="106"/>
      <c r="R18" s="98"/>
      <c r="S18" s="98"/>
      <c r="T18" s="98"/>
      <c r="U18" s="119" t="s">
        <v>213</v>
      </c>
      <c r="V18" s="98"/>
      <c r="W18" s="98"/>
      <c r="X18" s="98"/>
      <c r="Y18" s="172">
        <f>AA18+516987.24-47698.05</f>
        <v>10994656.61</v>
      </c>
      <c r="AA18" s="99">
        <v>10525367.42</v>
      </c>
      <c r="AB18" s="104"/>
    </row>
    <row r="19" spans="1:28" ht="18" customHeight="1">
      <c r="A19" s="96"/>
      <c r="B19" s="98"/>
      <c r="C19" s="98" t="s">
        <v>214</v>
      </c>
      <c r="D19" s="120"/>
      <c r="E19" s="114"/>
      <c r="F19" s="111"/>
      <c r="K19" s="115"/>
      <c r="L19" s="126"/>
      <c r="M19" s="126"/>
      <c r="N19" s="221"/>
      <c r="O19" s="126"/>
      <c r="P19" s="217"/>
      <c r="Q19" s="106"/>
      <c r="R19" s="98"/>
      <c r="S19" s="98"/>
      <c r="T19" s="98"/>
      <c r="U19" s="78" t="s">
        <v>215</v>
      </c>
      <c r="V19" s="98"/>
      <c r="W19" s="98"/>
      <c r="X19" s="98"/>
      <c r="Y19" s="172">
        <f>-5634205.48-0.03</f>
        <v>-5634205.510000001</v>
      </c>
      <c r="Z19" s="105"/>
      <c r="AA19" s="121">
        <v>-3440691.64</v>
      </c>
      <c r="AB19" s="104"/>
    </row>
    <row r="20" spans="1:28" ht="18" customHeight="1" thickBot="1">
      <c r="A20" s="96"/>
      <c r="B20" s="98"/>
      <c r="C20" s="98" t="s">
        <v>216</v>
      </c>
      <c r="D20" s="120"/>
      <c r="E20" s="114"/>
      <c r="F20" s="105">
        <f>21206627.53+458737.14+115427.7</f>
        <v>21780792.37</v>
      </c>
      <c r="G20" s="105"/>
      <c r="H20" s="108">
        <v>15933928.97</v>
      </c>
      <c r="I20" s="105"/>
      <c r="J20" s="105">
        <f>(F20-H20)</f>
        <v>5846863.4</v>
      </c>
      <c r="K20" s="115"/>
      <c r="L20" s="126">
        <v>21206627.53</v>
      </c>
      <c r="M20" s="126"/>
      <c r="N20" s="221">
        <v>13851899.11</v>
      </c>
      <c r="O20" s="126"/>
      <c r="P20" s="217">
        <f>(L20-N20)</f>
        <v>7354728.420000002</v>
      </c>
      <c r="Q20" s="106"/>
      <c r="R20" s="98"/>
      <c r="S20" s="98"/>
      <c r="Y20" s="229">
        <f>Y18+Y19</f>
        <v>5360451.099999999</v>
      </c>
      <c r="Z20" s="105"/>
      <c r="AA20" s="116">
        <f>SUM(AA18:AA19)</f>
        <v>7084675.779999999</v>
      </c>
      <c r="AB20" s="104"/>
    </row>
    <row r="21" spans="1:28" ht="18" customHeight="1" thickTop="1">
      <c r="A21" s="96"/>
      <c r="B21" s="98"/>
      <c r="C21" s="98" t="s">
        <v>217</v>
      </c>
      <c r="D21" s="98"/>
      <c r="E21" s="98"/>
      <c r="F21" s="105">
        <v>126055.69</v>
      </c>
      <c r="G21" s="105"/>
      <c r="H21" s="108">
        <f>75141.78+8984.8</f>
        <v>84126.58</v>
      </c>
      <c r="I21" s="105"/>
      <c r="J21" s="105">
        <f>(F21-H21)</f>
        <v>41929.11</v>
      </c>
      <c r="K21" s="105"/>
      <c r="L21" s="126">
        <v>126055.69</v>
      </c>
      <c r="M21" s="126"/>
      <c r="N21" s="221">
        <v>75141.78</v>
      </c>
      <c r="O21" s="126"/>
      <c r="P21" s="217">
        <f>(L21-N21)</f>
        <v>50913.91</v>
      </c>
      <c r="Q21" s="106"/>
      <c r="R21" s="98"/>
      <c r="S21" s="98"/>
      <c r="Y21" s="172"/>
      <c r="AB21" s="104"/>
    </row>
    <row r="22" spans="1:28" ht="18" customHeight="1">
      <c r="A22" s="96"/>
      <c r="B22" s="98"/>
      <c r="C22" s="98" t="s">
        <v>218</v>
      </c>
      <c r="D22" s="98"/>
      <c r="E22" s="98"/>
      <c r="F22" s="105">
        <v>5782465.45</v>
      </c>
      <c r="G22" s="105"/>
      <c r="H22" s="105">
        <f>2972333.2+434693.89+53205.22+112168.03</f>
        <v>3572400.3400000003</v>
      </c>
      <c r="I22" s="105"/>
      <c r="J22" s="105">
        <f>(F22-H22)</f>
        <v>2210065.11</v>
      </c>
      <c r="K22" s="105"/>
      <c r="L22" s="126">
        <v>4314730.06</v>
      </c>
      <c r="M22" s="126"/>
      <c r="N22" s="221">
        <v>2972333.2</v>
      </c>
      <c r="O22" s="126"/>
      <c r="P22" s="217">
        <f>(L22-N22)</f>
        <v>1342396.8599999994</v>
      </c>
      <c r="Q22" s="106"/>
      <c r="R22" s="98"/>
      <c r="S22" s="98"/>
      <c r="T22" s="114"/>
      <c r="U22" s="114"/>
      <c r="V22" s="114"/>
      <c r="W22" s="114"/>
      <c r="X22" s="114"/>
      <c r="Y22" s="172"/>
      <c r="Z22" s="115"/>
      <c r="AA22" s="115"/>
      <c r="AB22" s="104"/>
    </row>
    <row r="23" spans="1:28" ht="18" customHeight="1">
      <c r="A23" s="96"/>
      <c r="B23" s="98"/>
      <c r="C23" s="98" t="s">
        <v>325</v>
      </c>
      <c r="D23" s="98"/>
      <c r="E23" s="98"/>
      <c r="F23" s="105">
        <v>516987.24</v>
      </c>
      <c r="G23" s="105"/>
      <c r="H23" s="105">
        <v>0</v>
      </c>
      <c r="I23" s="105"/>
      <c r="J23" s="105">
        <f>(F23-H23)</f>
        <v>516987.24</v>
      </c>
      <c r="K23" s="105"/>
      <c r="L23" s="126">
        <v>902095.67</v>
      </c>
      <c r="M23" s="126"/>
      <c r="N23" s="126">
        <v>0</v>
      </c>
      <c r="O23" s="126"/>
      <c r="P23" s="217">
        <f>(L23-N23)</f>
        <v>902095.67</v>
      </c>
      <c r="Q23" s="106"/>
      <c r="R23" s="98"/>
      <c r="S23" s="98"/>
      <c r="T23" s="117" t="s">
        <v>220</v>
      </c>
      <c r="U23" s="98"/>
      <c r="V23" s="107"/>
      <c r="W23" s="107"/>
      <c r="X23" s="107"/>
      <c r="Y23" s="172"/>
      <c r="Z23" s="107"/>
      <c r="AA23" s="107"/>
      <c r="AB23" s="104"/>
    </row>
    <row r="24" spans="1:28" ht="18" customHeight="1" thickBot="1">
      <c r="A24" s="96"/>
      <c r="B24" s="98"/>
      <c r="C24" s="97" t="s">
        <v>221</v>
      </c>
      <c r="D24" s="98"/>
      <c r="E24" s="98"/>
      <c r="F24" s="112">
        <f aca="true" t="shared" si="0" ref="F24:K24">SUM(F17:F23)</f>
        <v>80363812.66</v>
      </c>
      <c r="G24" s="112">
        <f t="shared" si="0"/>
        <v>0</v>
      </c>
      <c r="H24" s="112">
        <f t="shared" si="0"/>
        <v>28989845.679999996</v>
      </c>
      <c r="I24" s="112">
        <f t="shared" si="0"/>
        <v>0</v>
      </c>
      <c r="J24" s="112">
        <f>SUM(J17:J23)</f>
        <v>51373966.980000004</v>
      </c>
      <c r="K24" s="122">
        <f t="shared" si="0"/>
        <v>0</v>
      </c>
      <c r="L24" s="112">
        <f>SUM(L17:L23)</f>
        <v>78707020.86</v>
      </c>
      <c r="M24" s="126"/>
      <c r="N24" s="112">
        <f>SUM(N17:N23)</f>
        <v>24730901.09</v>
      </c>
      <c r="O24" s="126"/>
      <c r="P24" s="215">
        <f>SUM(P17:P23)</f>
        <v>53976119.769999996</v>
      </c>
      <c r="Q24" s="106"/>
      <c r="R24" s="98"/>
      <c r="S24" s="97"/>
      <c r="T24" s="107"/>
      <c r="U24" s="119" t="s">
        <v>222</v>
      </c>
      <c r="V24" s="107"/>
      <c r="W24" s="107"/>
      <c r="X24" s="107"/>
      <c r="Y24" s="190">
        <v>19653789.16</v>
      </c>
      <c r="Z24" s="115"/>
      <c r="AA24" s="160">
        <v>19653789.16</v>
      </c>
      <c r="AB24" s="104"/>
    </row>
    <row r="25" spans="1:28" ht="18" customHeight="1" thickTop="1">
      <c r="A25" s="96"/>
      <c r="B25" s="98"/>
      <c r="C25" s="97" t="s">
        <v>223</v>
      </c>
      <c r="D25" s="98"/>
      <c r="E25" s="98"/>
      <c r="F25" s="111">
        <f>F24</f>
        <v>80363812.66</v>
      </c>
      <c r="G25" s="111">
        <f aca="true" t="shared" si="1" ref="G25:P25">G24</f>
        <v>0</v>
      </c>
      <c r="H25" s="111">
        <f t="shared" si="1"/>
        <v>28989845.679999996</v>
      </c>
      <c r="I25" s="111">
        <f t="shared" si="1"/>
        <v>0</v>
      </c>
      <c r="J25" s="111">
        <f t="shared" si="1"/>
        <v>51373966.980000004</v>
      </c>
      <c r="K25" s="111">
        <f t="shared" si="1"/>
        <v>0</v>
      </c>
      <c r="L25" s="222">
        <f t="shared" si="1"/>
        <v>78707020.86</v>
      </c>
      <c r="M25" s="222">
        <f t="shared" si="1"/>
        <v>0</v>
      </c>
      <c r="N25" s="222">
        <f t="shared" si="1"/>
        <v>24730901.09</v>
      </c>
      <c r="O25" s="222">
        <f t="shared" si="1"/>
        <v>0</v>
      </c>
      <c r="P25" s="223">
        <f t="shared" si="1"/>
        <v>53976119.769999996</v>
      </c>
      <c r="Q25" s="106"/>
      <c r="R25" s="98"/>
      <c r="S25" s="97"/>
      <c r="T25" s="114"/>
      <c r="U25" s="98"/>
      <c r="V25" s="114"/>
      <c r="W25" s="114"/>
      <c r="X25" s="114"/>
      <c r="Y25" s="172"/>
      <c r="Z25" s="115"/>
      <c r="AA25" s="115"/>
      <c r="AB25" s="104"/>
    </row>
    <row r="26" spans="1:28" ht="18" customHeight="1">
      <c r="A26" s="96"/>
      <c r="B26" s="98"/>
      <c r="C26" s="97"/>
      <c r="D26" s="98"/>
      <c r="E26" s="98"/>
      <c r="F26" s="105"/>
      <c r="G26" s="105"/>
      <c r="H26" s="105"/>
      <c r="I26" s="105"/>
      <c r="J26" s="105"/>
      <c r="K26" s="105"/>
      <c r="L26" s="126"/>
      <c r="M26" s="126"/>
      <c r="N26" s="126"/>
      <c r="O26" s="126"/>
      <c r="P26" s="217"/>
      <c r="Q26" s="106"/>
      <c r="R26" s="98"/>
      <c r="S26" s="97"/>
      <c r="T26" s="117" t="s">
        <v>224</v>
      </c>
      <c r="U26" s="98"/>
      <c r="V26" s="98"/>
      <c r="W26" s="98"/>
      <c r="X26" s="98"/>
      <c r="Y26" s="172"/>
      <c r="Z26" s="105"/>
      <c r="AA26" s="105"/>
      <c r="AB26" s="104"/>
    </row>
    <row r="27" spans="1:28" ht="18" customHeight="1" thickBot="1">
      <c r="A27" s="96"/>
      <c r="B27" s="97" t="s">
        <v>225</v>
      </c>
      <c r="C27" s="98"/>
      <c r="D27" s="98"/>
      <c r="E27" s="98"/>
      <c r="F27" s="105"/>
      <c r="G27" s="105"/>
      <c r="H27" s="111"/>
      <c r="I27" s="105"/>
      <c r="J27" s="105"/>
      <c r="K27" s="105"/>
      <c r="L27" s="126"/>
      <c r="M27" s="126"/>
      <c r="N27" s="126"/>
      <c r="O27" s="126"/>
      <c r="P27" s="217"/>
      <c r="Q27" s="106"/>
      <c r="R27" s="98"/>
      <c r="S27" s="97"/>
      <c r="T27" s="114"/>
      <c r="U27" s="98" t="s">
        <v>226</v>
      </c>
      <c r="V27" s="114"/>
      <c r="W27" s="114"/>
      <c r="X27" s="114"/>
      <c r="Y27" s="230">
        <f>-27472341.2+20391847.27</f>
        <v>-7080493.93</v>
      </c>
      <c r="Z27" s="115"/>
      <c r="AA27" s="124">
        <v>-27472341.2</v>
      </c>
      <c r="AB27" s="104"/>
    </row>
    <row r="28" spans="1:28" ht="18" customHeight="1" thickTop="1">
      <c r="A28" s="96"/>
      <c r="B28" s="117" t="s">
        <v>227</v>
      </c>
      <c r="C28" s="98"/>
      <c r="D28" s="98"/>
      <c r="E28" s="98"/>
      <c r="F28" s="105"/>
      <c r="G28" s="105"/>
      <c r="H28" s="105"/>
      <c r="I28" s="105">
        <f>I22-I27</f>
        <v>0</v>
      </c>
      <c r="J28" s="105"/>
      <c r="K28" s="105"/>
      <c r="L28" s="126"/>
      <c r="M28" s="126"/>
      <c r="N28" s="126"/>
      <c r="O28" s="126"/>
      <c r="P28" s="224"/>
      <c r="Q28" s="106"/>
      <c r="R28" s="98"/>
      <c r="S28" s="97"/>
      <c r="T28" s="114"/>
      <c r="U28" s="114"/>
      <c r="V28" s="114"/>
      <c r="W28" s="114"/>
      <c r="X28" s="114"/>
      <c r="Y28" s="172"/>
      <c r="Z28" s="115"/>
      <c r="AA28" s="125"/>
      <c r="AB28" s="104"/>
    </row>
    <row r="29" spans="1:28" ht="18" customHeight="1" thickBot="1">
      <c r="A29" s="96"/>
      <c r="B29" s="98"/>
      <c r="C29" s="98" t="s">
        <v>228</v>
      </c>
      <c r="D29" s="98"/>
      <c r="E29" s="98"/>
      <c r="F29" s="105"/>
      <c r="G29" s="105"/>
      <c r="I29" s="105"/>
      <c r="J29" s="208">
        <f>'ΓΕΝ.ΕΚΜΕΤΑΛ2010'!H18</f>
        <v>4869487.98</v>
      </c>
      <c r="K29" s="105"/>
      <c r="L29" s="126"/>
      <c r="M29" s="126"/>
      <c r="N29" s="126"/>
      <c r="O29" s="126"/>
      <c r="P29" s="216">
        <v>5503282.31</v>
      </c>
      <c r="Q29" s="106"/>
      <c r="R29" s="98"/>
      <c r="S29" s="97"/>
      <c r="T29" s="98"/>
      <c r="U29" s="97" t="s">
        <v>229</v>
      </c>
      <c r="V29" s="98"/>
      <c r="W29" s="98"/>
      <c r="X29" s="98"/>
      <c r="Y29" s="230">
        <f>Y20+Y24+Y27+Y14</f>
        <v>77390211.69999999</v>
      </c>
      <c r="Z29" s="126"/>
      <c r="AA29" s="127">
        <f>SUM(AA20:AA27)+AA14</f>
        <v>58722589.11</v>
      </c>
      <c r="AB29" s="104"/>
    </row>
    <row r="30" spans="1:28" ht="18" customHeight="1" thickTop="1">
      <c r="A30" s="96"/>
      <c r="B30" s="117" t="s">
        <v>230</v>
      </c>
      <c r="C30" s="98"/>
      <c r="D30" s="98"/>
      <c r="E30" s="98"/>
      <c r="F30" s="105"/>
      <c r="G30" s="105"/>
      <c r="I30" s="105"/>
      <c r="J30" s="105"/>
      <c r="K30" s="105"/>
      <c r="L30" s="126"/>
      <c r="M30" s="126"/>
      <c r="N30" s="126"/>
      <c r="O30" s="126"/>
      <c r="P30" s="224"/>
      <c r="Q30" s="212"/>
      <c r="R30" s="98"/>
      <c r="S30" s="97"/>
      <c r="T30" s="114"/>
      <c r="U30" s="98"/>
      <c r="V30" s="98"/>
      <c r="W30" s="98"/>
      <c r="X30" s="98"/>
      <c r="Y30" s="172"/>
      <c r="Z30" s="105"/>
      <c r="AA30" s="99"/>
      <c r="AB30" s="84"/>
    </row>
    <row r="31" spans="1:28" ht="18" customHeight="1">
      <c r="A31" s="96"/>
      <c r="B31" s="98"/>
      <c r="C31" s="98" t="s">
        <v>231</v>
      </c>
      <c r="D31" s="98"/>
      <c r="E31" s="98"/>
      <c r="F31" s="105"/>
      <c r="G31" s="105"/>
      <c r="H31" s="111"/>
      <c r="I31" s="105"/>
      <c r="J31" s="107">
        <v>43913786.64</v>
      </c>
      <c r="K31" s="105"/>
      <c r="L31" s="126"/>
      <c r="M31" s="126"/>
      <c r="N31" s="145"/>
      <c r="O31" s="126"/>
      <c r="P31" s="217">
        <v>134134675.31</v>
      </c>
      <c r="Q31" s="106"/>
      <c r="R31" s="98"/>
      <c r="S31" s="97"/>
      <c r="T31" s="97" t="s">
        <v>232</v>
      </c>
      <c r="U31" s="98"/>
      <c r="V31" s="98"/>
      <c r="W31" s="98"/>
      <c r="X31" s="98"/>
      <c r="Y31" s="172"/>
      <c r="Z31" s="105"/>
      <c r="AA31" s="99" t="s">
        <v>66</v>
      </c>
      <c r="AB31" s="84"/>
    </row>
    <row r="32" spans="1:28" ht="18" customHeight="1">
      <c r="A32" s="96"/>
      <c r="B32" s="98"/>
      <c r="C32" s="98" t="s">
        <v>233</v>
      </c>
      <c r="D32" s="98"/>
      <c r="E32" s="98"/>
      <c r="F32" s="105"/>
      <c r="G32" s="105"/>
      <c r="I32" s="105"/>
      <c r="J32" s="105">
        <v>5577509.14</v>
      </c>
      <c r="K32" s="105"/>
      <c r="L32" s="126"/>
      <c r="M32" s="126"/>
      <c r="N32" s="126"/>
      <c r="O32" s="126"/>
      <c r="P32" s="217">
        <v>194.22</v>
      </c>
      <c r="Q32" s="212"/>
      <c r="R32" s="98"/>
      <c r="S32" s="97"/>
      <c r="T32" s="117" t="s">
        <v>234</v>
      </c>
      <c r="U32" s="98"/>
      <c r="V32" s="98"/>
      <c r="W32" s="98"/>
      <c r="X32" s="98"/>
      <c r="Y32" s="172"/>
      <c r="Z32" s="105"/>
      <c r="AA32" s="99"/>
      <c r="AB32" s="84"/>
    </row>
    <row r="33" spans="1:28" ht="18" customHeight="1" thickBot="1">
      <c r="A33" s="96"/>
      <c r="B33" s="98"/>
      <c r="C33" s="98" t="s">
        <v>235</v>
      </c>
      <c r="D33" s="98"/>
      <c r="E33" s="98"/>
      <c r="G33" s="105"/>
      <c r="H33" s="111"/>
      <c r="I33" s="105"/>
      <c r="J33" s="122">
        <f>SUM(J31:J32)</f>
        <v>49491295.78</v>
      </c>
      <c r="K33" s="105"/>
      <c r="L33" s="126"/>
      <c r="M33" s="126"/>
      <c r="N33" s="126"/>
      <c r="O33" s="126"/>
      <c r="P33" s="215">
        <f>SUM(P31:P32)</f>
        <v>134134869.53</v>
      </c>
      <c r="Q33" s="106"/>
      <c r="R33" s="98"/>
      <c r="S33" s="98"/>
      <c r="T33" s="98"/>
      <c r="U33" s="98" t="s">
        <v>236</v>
      </c>
      <c r="V33" s="98"/>
      <c r="W33" s="98"/>
      <c r="X33" s="98"/>
      <c r="Y33" s="172">
        <v>46012084.06</v>
      </c>
      <c r="Z33" s="105"/>
      <c r="AA33" s="99">
        <v>216089404.01</v>
      </c>
      <c r="AB33" s="84"/>
    </row>
    <row r="34" spans="1:28" ht="18" customHeight="1" thickTop="1">
      <c r="A34" s="96"/>
      <c r="B34" s="117" t="s">
        <v>237</v>
      </c>
      <c r="C34" s="114"/>
      <c r="D34" s="114"/>
      <c r="E34" s="114"/>
      <c r="G34" s="115"/>
      <c r="I34" s="115"/>
      <c r="K34" s="115"/>
      <c r="L34" s="225"/>
      <c r="M34" s="225"/>
      <c r="N34" s="225"/>
      <c r="O34" s="225"/>
      <c r="P34" s="217"/>
      <c r="Q34" s="106"/>
      <c r="R34" s="98"/>
      <c r="S34" s="98"/>
      <c r="T34" s="98"/>
      <c r="U34" s="107" t="s">
        <v>238</v>
      </c>
      <c r="V34" s="98"/>
      <c r="W34" s="98"/>
      <c r="X34" s="98"/>
      <c r="Y34" s="172">
        <v>14489.74</v>
      </c>
      <c r="Z34" s="105"/>
      <c r="AA34" s="99">
        <v>3215.17</v>
      </c>
      <c r="AB34" s="84"/>
    </row>
    <row r="35" spans="1:28" ht="18" customHeight="1" thickBot="1">
      <c r="A35" s="96"/>
      <c r="B35" s="98"/>
      <c r="C35" s="98" t="s">
        <v>239</v>
      </c>
      <c r="D35" s="98"/>
      <c r="E35" s="98"/>
      <c r="G35" s="105"/>
      <c r="I35" s="105"/>
      <c r="J35" s="207">
        <v>28954440.64</v>
      </c>
      <c r="K35" s="105"/>
      <c r="L35" s="126"/>
      <c r="M35" s="126"/>
      <c r="N35" s="126"/>
      <c r="O35" s="126"/>
      <c r="P35" s="216">
        <v>16182093.76</v>
      </c>
      <c r="Q35" s="106"/>
      <c r="R35" s="98"/>
      <c r="S35" s="98"/>
      <c r="T35" s="98"/>
      <c r="U35" s="128" t="s">
        <v>240</v>
      </c>
      <c r="V35" s="128"/>
      <c r="W35" s="98"/>
      <c r="X35" s="98"/>
      <c r="Y35" s="172">
        <f>33186828.1</f>
        <v>33186828.1</v>
      </c>
      <c r="Z35" s="105"/>
      <c r="AA35" s="105">
        <v>1587.31</v>
      </c>
      <c r="AB35" s="84"/>
    </row>
    <row r="36" spans="1:28" ht="18" customHeight="1" thickBot="1" thickTop="1">
      <c r="A36" s="96"/>
      <c r="B36" s="98"/>
      <c r="C36" s="97" t="s">
        <v>241</v>
      </c>
      <c r="D36" s="98"/>
      <c r="E36" s="98"/>
      <c r="F36" s="105"/>
      <c r="G36" s="105"/>
      <c r="I36" s="105"/>
      <c r="J36" s="116">
        <f>J29+J33+J35</f>
        <v>83315224.4</v>
      </c>
      <c r="K36" s="105"/>
      <c r="L36" s="126"/>
      <c r="M36" s="126"/>
      <c r="N36" s="126"/>
      <c r="O36" s="126"/>
      <c r="P36" s="216">
        <f>P33+P29+P35</f>
        <v>155820245.6</v>
      </c>
      <c r="Q36" s="106"/>
      <c r="R36" s="98"/>
      <c r="S36" s="98"/>
      <c r="T36" s="98"/>
      <c r="U36" s="97" t="s">
        <v>242</v>
      </c>
      <c r="V36" s="98"/>
      <c r="W36" s="98"/>
      <c r="X36" s="98"/>
      <c r="Y36" s="229">
        <f>SUM(Y33:Y35)</f>
        <v>79213401.9</v>
      </c>
      <c r="Z36" s="126"/>
      <c r="AA36" s="112">
        <f>SUM(AA33:AA35)</f>
        <v>216094206.48999998</v>
      </c>
      <c r="AB36" s="84"/>
    </row>
    <row r="37" spans="1:28" ht="18" customHeight="1" thickTop="1">
      <c r="A37" s="96"/>
      <c r="B37" s="107"/>
      <c r="C37" s="96"/>
      <c r="D37" s="97" t="s">
        <v>243</v>
      </c>
      <c r="E37" s="98"/>
      <c r="F37" s="98"/>
      <c r="G37" s="107"/>
      <c r="H37" s="110"/>
      <c r="I37" s="107"/>
      <c r="K37" s="107"/>
      <c r="L37" s="145"/>
      <c r="M37" s="145"/>
      <c r="N37" s="145"/>
      <c r="O37" s="145"/>
      <c r="P37" s="226"/>
      <c r="Q37" s="106"/>
      <c r="R37" s="98"/>
      <c r="S37" s="98"/>
      <c r="U37" s="97" t="s">
        <v>304</v>
      </c>
      <c r="Y37" s="172"/>
      <c r="AB37" s="104"/>
    </row>
    <row r="38" spans="1:28" ht="18" customHeight="1" thickBot="1">
      <c r="A38" s="96"/>
      <c r="B38" s="98"/>
      <c r="C38" s="98" t="s">
        <v>244</v>
      </c>
      <c r="D38" s="98"/>
      <c r="E38" s="98"/>
      <c r="F38" s="105"/>
      <c r="G38" s="105"/>
      <c r="H38" s="105"/>
      <c r="I38" s="105"/>
      <c r="J38" s="207">
        <v>20605011.15</v>
      </c>
      <c r="K38" s="105"/>
      <c r="L38" s="126"/>
      <c r="M38" s="126"/>
      <c r="N38" s="126"/>
      <c r="O38" s="126"/>
      <c r="P38" s="216">
        <f>63669894.45-465570.2</f>
        <v>63204324.25</v>
      </c>
      <c r="Q38" s="106"/>
      <c r="R38" s="98"/>
      <c r="S38" s="98"/>
      <c r="T38" s="97"/>
      <c r="U38" s="98"/>
      <c r="V38" s="98"/>
      <c r="W38" s="98"/>
      <c r="X38" s="98"/>
      <c r="Y38" s="172"/>
      <c r="Z38" s="105"/>
      <c r="AA38" s="110"/>
      <c r="AB38" s="84"/>
    </row>
    <row r="39" spans="1:28" ht="18" customHeight="1" thickTop="1">
      <c r="A39" s="96"/>
      <c r="B39" s="107"/>
      <c r="C39" s="107" t="s">
        <v>300</v>
      </c>
      <c r="D39" s="107"/>
      <c r="E39" s="107"/>
      <c r="F39" s="107"/>
      <c r="G39" s="107"/>
      <c r="H39" s="107"/>
      <c r="I39" s="107"/>
      <c r="K39" s="107"/>
      <c r="L39" s="145"/>
      <c r="M39" s="145"/>
      <c r="N39" s="225"/>
      <c r="O39" s="145"/>
      <c r="P39" s="226"/>
      <c r="Q39" s="213"/>
      <c r="R39" s="98"/>
      <c r="S39" s="98"/>
      <c r="T39" s="107"/>
      <c r="Z39" s="107"/>
      <c r="AA39" s="107"/>
      <c r="AB39" s="104"/>
    </row>
    <row r="40" spans="1:28" ht="18.75" customHeight="1" thickBot="1">
      <c r="A40" s="96"/>
      <c r="B40" s="97" t="s">
        <v>245</v>
      </c>
      <c r="C40" s="98"/>
      <c r="D40" s="98"/>
      <c r="E40" s="98"/>
      <c r="F40" s="105"/>
      <c r="G40" s="105"/>
      <c r="H40" s="105"/>
      <c r="I40" s="105"/>
      <c r="J40" s="206">
        <f>SUM(+J25)+J36+J38+J14</f>
        <v>156603613.6</v>
      </c>
      <c r="K40" s="105"/>
      <c r="L40" s="126"/>
      <c r="M40" s="126"/>
      <c r="N40" s="126"/>
      <c r="O40" s="126"/>
      <c r="P40" s="216">
        <f>SUM(+P25)+P36+P38+P14</f>
        <v>274816795.6</v>
      </c>
      <c r="Q40" s="106"/>
      <c r="R40" s="105"/>
      <c r="S40" s="105"/>
      <c r="T40" s="97" t="s">
        <v>246</v>
      </c>
      <c r="U40" s="98"/>
      <c r="V40" s="98"/>
      <c r="W40" s="98"/>
      <c r="X40" s="98"/>
      <c r="Y40" s="230">
        <f>Y29+Y36</f>
        <v>156603613.6</v>
      </c>
      <c r="Z40" s="105"/>
      <c r="AA40" s="123">
        <f>SUM(AA29+AA36)</f>
        <v>274816795.59999996</v>
      </c>
      <c r="AB40" s="104"/>
    </row>
    <row r="41" spans="5:28" ht="18" customHeight="1" thickTop="1">
      <c r="E41" s="98"/>
      <c r="F41" s="105"/>
      <c r="G41" s="105"/>
      <c r="H41" s="105"/>
      <c r="I41" s="105"/>
      <c r="K41" s="105"/>
      <c r="L41" s="126"/>
      <c r="M41" s="126"/>
      <c r="N41" s="126"/>
      <c r="O41" s="126"/>
      <c r="P41" s="217"/>
      <c r="Q41" s="106"/>
      <c r="R41" s="98"/>
      <c r="S41" s="98"/>
      <c r="Y41" s="172"/>
      <c r="AB41" s="84"/>
    </row>
    <row r="42" spans="1:28" ht="12" customHeight="1">
      <c r="A42" s="96"/>
      <c r="B42" s="97"/>
      <c r="C42" s="98"/>
      <c r="D42" s="98"/>
      <c r="E42" s="98"/>
      <c r="F42" s="105"/>
      <c r="G42" s="105"/>
      <c r="I42" s="105"/>
      <c r="J42" s="126"/>
      <c r="K42" s="105"/>
      <c r="L42" s="126"/>
      <c r="M42" s="126"/>
      <c r="N42" s="126"/>
      <c r="O42" s="126"/>
      <c r="P42" s="217"/>
      <c r="Q42" s="105"/>
      <c r="R42" s="105"/>
      <c r="S42" s="105"/>
      <c r="T42" s="97"/>
      <c r="U42" s="98"/>
      <c r="V42" s="98"/>
      <c r="W42" s="98"/>
      <c r="X42" s="98"/>
      <c r="Y42" s="191"/>
      <c r="Z42" s="105"/>
      <c r="AA42" s="126"/>
      <c r="AB42" s="104"/>
    </row>
    <row r="43" spans="1:28" ht="12" customHeight="1">
      <c r="A43" s="96"/>
      <c r="B43" s="97"/>
      <c r="C43" s="98"/>
      <c r="D43" s="98"/>
      <c r="E43" s="98"/>
      <c r="F43" s="115"/>
      <c r="G43" s="99"/>
      <c r="H43" s="205"/>
      <c r="I43" s="105"/>
      <c r="J43" s="126"/>
      <c r="K43" s="105"/>
      <c r="L43" s="126"/>
      <c r="M43" s="126"/>
      <c r="N43" s="126"/>
      <c r="O43" s="126"/>
      <c r="P43" s="217"/>
      <c r="Q43" s="105"/>
      <c r="R43" s="105"/>
      <c r="S43" s="105"/>
      <c r="T43" s="97"/>
      <c r="U43" s="98"/>
      <c r="V43" s="98"/>
      <c r="W43" s="98"/>
      <c r="X43" s="98"/>
      <c r="Y43" s="191"/>
      <c r="Z43" s="105"/>
      <c r="AA43" s="126"/>
      <c r="AB43" s="104"/>
    </row>
    <row r="44" spans="1:28" ht="12" customHeight="1">
      <c r="A44" s="96"/>
      <c r="B44" s="97"/>
      <c r="C44" s="98"/>
      <c r="D44" s="98"/>
      <c r="E44" s="98"/>
      <c r="F44" s="105"/>
      <c r="G44" s="99"/>
      <c r="H44" s="99"/>
      <c r="I44" s="105"/>
      <c r="J44" s="126"/>
      <c r="K44" s="105"/>
      <c r="L44" s="225"/>
      <c r="M44" s="126"/>
      <c r="N44" s="126"/>
      <c r="O44" s="126"/>
      <c r="P44" s="217"/>
      <c r="Q44" s="105"/>
      <c r="R44" s="105"/>
      <c r="S44" s="105"/>
      <c r="T44" s="97"/>
      <c r="U44" s="98"/>
      <c r="V44" s="98"/>
      <c r="W44" s="98"/>
      <c r="X44" s="98"/>
      <c r="Y44" s="191"/>
      <c r="Z44" s="105"/>
      <c r="AA44" s="126"/>
      <c r="AB44" s="104"/>
    </row>
    <row r="45" spans="1:28" ht="14.25" customHeight="1">
      <c r="A45" s="96"/>
      <c r="B45" s="132" t="s">
        <v>247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26"/>
      <c r="M45" s="101"/>
      <c r="N45" s="227"/>
      <c r="O45" s="101"/>
      <c r="P45" s="228"/>
      <c r="Q45" s="99"/>
      <c r="R45" s="99"/>
      <c r="S45" s="99"/>
      <c r="T45" s="101"/>
      <c r="U45" s="107" t="s">
        <v>43</v>
      </c>
      <c r="V45" s="107"/>
      <c r="W45" s="107"/>
      <c r="X45" s="107"/>
      <c r="Y45" s="172"/>
      <c r="Z45" s="100"/>
      <c r="AA45" s="99"/>
      <c r="AB45" s="104"/>
    </row>
    <row r="46" spans="1:28" ht="14.25" customHeight="1">
      <c r="A46" s="96"/>
      <c r="B46" s="78" t="s">
        <v>303</v>
      </c>
      <c r="D46" s="98"/>
      <c r="E46" s="105"/>
      <c r="F46" s="105"/>
      <c r="G46" s="99"/>
      <c r="H46" s="99"/>
      <c r="J46" s="100"/>
      <c r="K46" s="100"/>
      <c r="L46" s="126"/>
      <c r="M46" s="101"/>
      <c r="N46" s="227"/>
      <c r="O46" s="101"/>
      <c r="P46" s="228"/>
      <c r="Q46" s="99"/>
      <c r="R46" s="99"/>
      <c r="S46" s="99"/>
      <c r="T46" s="101"/>
      <c r="U46" s="100"/>
      <c r="V46" s="100"/>
      <c r="W46" s="100"/>
      <c r="X46" s="100"/>
      <c r="Y46" s="192"/>
      <c r="Z46" s="100"/>
      <c r="AA46" s="99"/>
      <c r="AB46" s="104"/>
    </row>
    <row r="47" spans="3:28" ht="18" customHeight="1">
      <c r="C47" s="78" t="s">
        <v>303</v>
      </c>
      <c r="E47" s="98"/>
      <c r="F47" s="105"/>
      <c r="G47" s="105"/>
      <c r="H47" s="105"/>
      <c r="I47" s="105"/>
      <c r="K47" s="105"/>
      <c r="L47" s="126"/>
      <c r="M47" s="126"/>
      <c r="N47" s="126"/>
      <c r="O47" s="126"/>
      <c r="P47" s="217"/>
      <c r="Q47" s="106"/>
      <c r="R47" s="98"/>
      <c r="S47" s="98"/>
      <c r="Y47" s="172"/>
      <c r="AB47" s="84"/>
    </row>
    <row r="48" spans="1:28" ht="34.5" customHeight="1">
      <c r="A48" s="133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134"/>
    </row>
    <row r="49" spans="1:28" ht="36" customHeight="1">
      <c r="A49" s="133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134"/>
    </row>
    <row r="50" spans="1:28" ht="19.5" customHeight="1">
      <c r="A50" s="133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134"/>
    </row>
    <row r="51" spans="1:28" ht="36" customHeight="1">
      <c r="A51" s="133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134"/>
    </row>
    <row r="52" spans="1:28" ht="37.5" customHeight="1">
      <c r="A52" s="133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134"/>
    </row>
    <row r="53" spans="1:28" ht="15.75" customHeight="1">
      <c r="A53" s="133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135"/>
    </row>
    <row r="54" spans="1:28" ht="9.75" customHeight="1" thickBot="1">
      <c r="A54" s="133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135"/>
    </row>
    <row r="55" spans="1:28" ht="21" customHeight="1">
      <c r="A55" s="136"/>
      <c r="B55" s="240" t="s">
        <v>248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137"/>
      <c r="R55" s="138"/>
      <c r="S55" s="241" t="s">
        <v>249</v>
      </c>
      <c r="T55" s="241"/>
      <c r="U55" s="241"/>
      <c r="V55" s="241"/>
      <c r="W55" s="241"/>
      <c r="X55" s="241"/>
      <c r="Y55" s="241"/>
      <c r="Z55" s="241"/>
      <c r="AA55" s="241"/>
      <c r="AB55" s="139"/>
    </row>
    <row r="56" spans="1:28" ht="15.75" customHeight="1" thickBot="1">
      <c r="A56" s="129"/>
      <c r="B56" s="243" t="s">
        <v>324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140"/>
      <c r="R56" s="130"/>
      <c r="S56" s="242"/>
      <c r="T56" s="242"/>
      <c r="U56" s="242"/>
      <c r="V56" s="242"/>
      <c r="W56" s="242"/>
      <c r="X56" s="242"/>
      <c r="Y56" s="242"/>
      <c r="Z56" s="242"/>
      <c r="AA56" s="242"/>
      <c r="AB56" s="131"/>
    </row>
    <row r="57" spans="1:28" ht="25.5" customHeight="1">
      <c r="A57" s="96"/>
      <c r="B57" s="97"/>
      <c r="C57" s="98"/>
      <c r="D57" s="98"/>
      <c r="E57" s="98"/>
      <c r="F57" s="98"/>
      <c r="G57" s="98"/>
      <c r="H57" s="98"/>
      <c r="I57" s="98"/>
      <c r="J57" s="98"/>
      <c r="K57" s="98"/>
      <c r="L57" s="105"/>
      <c r="M57" s="98"/>
      <c r="N57" s="105"/>
      <c r="O57" s="98"/>
      <c r="P57" s="105"/>
      <c r="Q57" s="106"/>
      <c r="R57" s="98"/>
      <c r="S57" s="98"/>
      <c r="T57" s="107"/>
      <c r="U57" s="97"/>
      <c r="V57" s="97"/>
      <c r="W57" s="107"/>
      <c r="X57" s="141"/>
      <c r="Y57" s="234" t="s">
        <v>196</v>
      </c>
      <c r="Z57" s="141"/>
      <c r="AA57" s="234" t="s">
        <v>198</v>
      </c>
      <c r="AB57" s="104"/>
    </row>
    <row r="58" spans="1:28" ht="24.75" customHeight="1">
      <c r="A58" s="96"/>
      <c r="B58" s="97"/>
      <c r="C58" s="142" t="s">
        <v>66</v>
      </c>
      <c r="D58" s="98"/>
      <c r="E58" s="98"/>
      <c r="F58" s="236" t="s">
        <v>250</v>
      </c>
      <c r="G58" s="236"/>
      <c r="H58" s="236"/>
      <c r="I58" s="236"/>
      <c r="J58" s="236"/>
      <c r="K58" s="98"/>
      <c r="L58" s="236" t="s">
        <v>251</v>
      </c>
      <c r="M58" s="236"/>
      <c r="N58" s="236"/>
      <c r="O58" s="236"/>
      <c r="P58" s="236"/>
      <c r="Q58" s="143"/>
      <c r="R58" s="98"/>
      <c r="S58" s="98"/>
      <c r="T58" s="97"/>
      <c r="U58" s="97"/>
      <c r="V58" s="97"/>
      <c r="W58" s="141"/>
      <c r="X58" s="141"/>
      <c r="Y58" s="234"/>
      <c r="Z58" s="141"/>
      <c r="AA58" s="234"/>
      <c r="AB58" s="104"/>
    </row>
    <row r="59" spans="1:28" ht="18" customHeight="1">
      <c r="A59" s="96"/>
      <c r="B59" s="144" t="s">
        <v>252</v>
      </c>
      <c r="C59" s="145" t="s">
        <v>253</v>
      </c>
      <c r="D59" s="114"/>
      <c r="E59" s="114"/>
      <c r="L59" s="115"/>
      <c r="M59" s="115"/>
      <c r="N59" s="115"/>
      <c r="O59" s="115"/>
      <c r="P59" s="115"/>
      <c r="Q59" s="115"/>
      <c r="R59" s="98"/>
      <c r="S59" s="98" t="s">
        <v>254</v>
      </c>
      <c r="T59" s="97"/>
      <c r="U59" s="107"/>
      <c r="V59" s="98"/>
      <c r="W59" s="97"/>
      <c r="X59" s="97"/>
      <c r="Y59" s="111">
        <f>J86</f>
        <v>20391847.269999966</v>
      </c>
      <c r="Z59" s="146"/>
      <c r="AA59" s="147">
        <f>P83</f>
        <v>-286578.98000000603</v>
      </c>
      <c r="AB59" s="148"/>
    </row>
    <row r="60" spans="1:28" ht="18" customHeight="1">
      <c r="A60" s="149"/>
      <c r="B60" s="114"/>
      <c r="C60" s="114" t="s">
        <v>255</v>
      </c>
      <c r="D60" s="114"/>
      <c r="E60" s="114"/>
      <c r="F60" s="172"/>
      <c r="H60" s="172">
        <f>'ΓΕΝ.ΕΚΜΕΤΑΛ2010'!L44-'ΓΕΝ.ΕΚΜΕΤΑΛ2010'!M32</f>
        <v>157030911.77999997</v>
      </c>
      <c r="L60" s="115"/>
      <c r="M60" s="115"/>
      <c r="N60" s="115">
        <v>78601250.52</v>
      </c>
      <c r="O60" s="115"/>
      <c r="P60" s="115" t="s">
        <v>66</v>
      </c>
      <c r="Q60" s="115"/>
      <c r="R60" s="114"/>
      <c r="S60" s="107" t="s">
        <v>256</v>
      </c>
      <c r="T60" s="107"/>
      <c r="U60" s="107"/>
      <c r="V60" s="107"/>
      <c r="W60" s="107"/>
      <c r="X60" s="107"/>
      <c r="Y60" s="78">
        <v>-27472341.2</v>
      </c>
      <c r="Z60" s="150"/>
      <c r="AA60" s="151">
        <v>-27185762.22</v>
      </c>
      <c r="AB60" s="148"/>
    </row>
    <row r="61" spans="1:28" ht="18" customHeight="1" thickBot="1">
      <c r="A61" s="149"/>
      <c r="B61" s="114"/>
      <c r="C61" s="152" t="s">
        <v>257</v>
      </c>
      <c r="D61" s="114"/>
      <c r="E61" s="114"/>
      <c r="F61" s="172"/>
      <c r="H61" s="172">
        <f>'ΓΕΝ.ΕΚΜΕΤΑΛ2010'!M32</f>
        <v>0</v>
      </c>
      <c r="J61" s="172">
        <f>H61+H60</f>
        <v>157030911.77999997</v>
      </c>
      <c r="L61" s="115"/>
      <c r="M61" s="115"/>
      <c r="N61" s="153">
        <v>58908607.18</v>
      </c>
      <c r="O61" s="115"/>
      <c r="P61" s="115">
        <f>SUM(N60:N61)</f>
        <v>137509857.7</v>
      </c>
      <c r="Q61" s="115"/>
      <c r="R61" s="114"/>
      <c r="S61" s="154" t="s">
        <v>258</v>
      </c>
      <c r="T61" s="107"/>
      <c r="U61" s="107"/>
      <c r="V61" s="107"/>
      <c r="W61" s="107"/>
      <c r="X61" s="107"/>
      <c r="Y61" s="231">
        <f>Y59+Y60</f>
        <v>-7080493.930000033</v>
      </c>
      <c r="Z61" s="155"/>
      <c r="AA61" s="156">
        <f>AA60+AA59</f>
        <v>-27472341.200000003</v>
      </c>
      <c r="AB61" s="148"/>
    </row>
    <row r="62" spans="1:28" ht="18" customHeight="1" thickTop="1">
      <c r="A62" s="149"/>
      <c r="B62" s="114"/>
      <c r="C62" s="145" t="s">
        <v>259</v>
      </c>
      <c r="D62" s="114"/>
      <c r="E62" s="114"/>
      <c r="F62" s="172"/>
      <c r="J62" s="111">
        <f>'ΓΕΝ.ΕΚΜΕΤΑΛ2010'!H19+'ΦΥΛΟ ΜΕΡΙΣΜΟΥ ΕΞΟΔΩΝ'!D81</f>
        <v>118122483.37127501</v>
      </c>
      <c r="L62" s="115"/>
      <c r="M62" s="115"/>
      <c r="N62" s="115"/>
      <c r="O62" s="115"/>
      <c r="P62" s="153">
        <v>147953236.22</v>
      </c>
      <c r="Q62" s="115"/>
      <c r="R62" s="114"/>
      <c r="S62" s="114"/>
      <c r="T62" s="107"/>
      <c r="U62" s="97"/>
      <c r="V62" s="97"/>
      <c r="W62" s="107"/>
      <c r="X62" s="97"/>
      <c r="Y62" s="97"/>
      <c r="Z62" s="97"/>
      <c r="AA62" s="97"/>
      <c r="AB62" s="148"/>
    </row>
    <row r="63" spans="1:28" ht="18" customHeight="1">
      <c r="A63" s="149"/>
      <c r="B63" s="114"/>
      <c r="C63" s="114" t="s">
        <v>260</v>
      </c>
      <c r="D63" s="114"/>
      <c r="E63" s="114"/>
      <c r="F63" s="172"/>
      <c r="J63" s="172">
        <f>J61-J62</f>
        <v>38908428.40872496</v>
      </c>
      <c r="L63" s="115"/>
      <c r="M63" s="115"/>
      <c r="N63" s="115"/>
      <c r="O63" s="115"/>
      <c r="P63" s="115">
        <f>P61-P62</f>
        <v>-10443378.52000001</v>
      </c>
      <c r="Q63" s="115"/>
      <c r="R63" s="114"/>
      <c r="S63" s="114"/>
      <c r="T63" s="107"/>
      <c r="U63" s="157"/>
      <c r="V63" s="157"/>
      <c r="W63" s="107"/>
      <c r="X63" s="157"/>
      <c r="Y63" s="157"/>
      <c r="Z63" s="157"/>
      <c r="AA63" s="157"/>
      <c r="AB63" s="148"/>
    </row>
    <row r="64" spans="1:28" ht="18" customHeight="1">
      <c r="A64" s="149"/>
      <c r="B64" s="114"/>
      <c r="C64" s="145" t="s">
        <v>261</v>
      </c>
      <c r="D64" s="114"/>
      <c r="E64" s="114"/>
      <c r="F64" s="172"/>
      <c r="J64" s="78">
        <v>0</v>
      </c>
      <c r="L64" s="115"/>
      <c r="M64" s="115"/>
      <c r="N64" s="115"/>
      <c r="O64" s="115"/>
      <c r="P64" s="153">
        <f>60880500.77-58908607.18-465570.2</f>
        <v>1506323.3900000036</v>
      </c>
      <c r="Q64" s="115"/>
      <c r="R64" s="114"/>
      <c r="S64" s="233" t="s">
        <v>262</v>
      </c>
      <c r="T64" s="233"/>
      <c r="U64" s="233"/>
      <c r="V64" s="233"/>
      <c r="W64" s="233"/>
      <c r="X64" s="233"/>
      <c r="Y64" s="233"/>
      <c r="Z64" s="233"/>
      <c r="AA64" s="233"/>
      <c r="AB64" s="148"/>
    </row>
    <row r="65" spans="1:28" ht="18" customHeight="1">
      <c r="A65" s="149"/>
      <c r="B65" s="114"/>
      <c r="C65" s="114" t="s">
        <v>263</v>
      </c>
      <c r="D65" s="114"/>
      <c r="E65" s="114"/>
      <c r="F65" s="172"/>
      <c r="J65" s="172">
        <f>SUM(J63:J64)</f>
        <v>38908428.40872496</v>
      </c>
      <c r="L65" s="115"/>
      <c r="M65" s="115"/>
      <c r="N65" s="115"/>
      <c r="O65" s="115"/>
      <c r="P65" s="115">
        <f>P64+P63</f>
        <v>-8937055.130000006</v>
      </c>
      <c r="Q65" s="115"/>
      <c r="R65" s="114"/>
      <c r="S65" s="114"/>
      <c r="T65" s="107"/>
      <c r="U65" s="114"/>
      <c r="V65" s="114"/>
      <c r="W65" s="107"/>
      <c r="X65" s="114"/>
      <c r="Y65" s="114"/>
      <c r="Z65" s="114"/>
      <c r="AA65" s="114"/>
      <c r="AB65" s="148"/>
    </row>
    <row r="66" spans="1:28" ht="15.75" customHeight="1">
      <c r="A66" s="149"/>
      <c r="B66" s="114"/>
      <c r="C66" s="145" t="s">
        <v>264</v>
      </c>
      <c r="D66" s="114"/>
      <c r="E66" s="114"/>
      <c r="F66" s="172"/>
      <c r="J66" s="111">
        <f>'ΦΥΛΟ ΜΕΡΙΣΜΟΥ ΕΞΟΔΩΝ'!E81</f>
        <v>5658705.178724999</v>
      </c>
      <c r="L66" s="115"/>
      <c r="M66" s="115"/>
      <c r="N66" s="115"/>
      <c r="O66" s="115"/>
      <c r="P66" s="153">
        <v>7170635.92</v>
      </c>
      <c r="Q66" s="115"/>
      <c r="R66" s="114"/>
      <c r="S66" s="234" t="s">
        <v>265</v>
      </c>
      <c r="T66" s="234"/>
      <c r="U66" s="234"/>
      <c r="V66" s="234"/>
      <c r="W66" s="234"/>
      <c r="X66" s="234" t="s">
        <v>266</v>
      </c>
      <c r="Y66" s="234"/>
      <c r="Z66" s="234"/>
      <c r="AA66" s="234"/>
      <c r="AB66" s="148"/>
    </row>
    <row r="67" spans="1:28" ht="18" customHeight="1">
      <c r="A67" s="149"/>
      <c r="B67" s="114"/>
      <c r="C67" s="114" t="s">
        <v>267</v>
      </c>
      <c r="D67" s="114"/>
      <c r="E67" s="114"/>
      <c r="F67" s="172"/>
      <c r="J67" s="172">
        <f>J65-J66</f>
        <v>33249723.229999967</v>
      </c>
      <c r="L67" s="115"/>
      <c r="M67" s="115"/>
      <c r="N67" s="115"/>
      <c r="O67" s="115"/>
      <c r="P67" s="115">
        <f>P65-P66</f>
        <v>-16107691.050000006</v>
      </c>
      <c r="Q67" s="115"/>
      <c r="R67" s="114"/>
      <c r="S67" s="234"/>
      <c r="T67" s="234"/>
      <c r="U67" s="234"/>
      <c r="V67" s="234"/>
      <c r="W67" s="234"/>
      <c r="X67" s="234"/>
      <c r="Y67" s="234"/>
      <c r="Z67" s="234"/>
      <c r="AA67" s="234"/>
      <c r="AB67" s="148"/>
    </row>
    <row r="68" spans="1:28" ht="18" customHeight="1">
      <c r="A68" s="149"/>
      <c r="B68" s="114"/>
      <c r="C68" s="145" t="s">
        <v>268</v>
      </c>
      <c r="D68" s="114"/>
      <c r="E68" s="114"/>
      <c r="F68" s="172"/>
      <c r="L68" s="115"/>
      <c r="M68" s="115"/>
      <c r="N68" s="115"/>
      <c r="O68" s="115"/>
      <c r="P68" s="115"/>
      <c r="Q68" s="115"/>
      <c r="R68" s="114"/>
      <c r="AB68" s="148"/>
    </row>
    <row r="69" spans="1:28" ht="18" customHeight="1">
      <c r="A69" s="149"/>
      <c r="B69" s="114"/>
      <c r="C69" s="114" t="s">
        <v>269</v>
      </c>
      <c r="D69" s="114"/>
      <c r="E69" s="114"/>
      <c r="F69" s="172"/>
      <c r="J69" s="172">
        <v>0</v>
      </c>
      <c r="L69" s="115"/>
      <c r="M69" s="115"/>
      <c r="N69" s="115"/>
      <c r="O69" s="115"/>
      <c r="P69" s="153">
        <v>359962.23</v>
      </c>
      <c r="Q69" s="115"/>
      <c r="R69" s="114"/>
      <c r="AB69" s="148"/>
    </row>
    <row r="70" spans="1:28" ht="18" customHeight="1">
      <c r="A70" s="149"/>
      <c r="B70" s="114"/>
      <c r="C70" s="114" t="s">
        <v>270</v>
      </c>
      <c r="D70" s="114"/>
      <c r="E70" s="114"/>
      <c r="F70" s="172"/>
      <c r="J70" s="172">
        <f>J67+J69</f>
        <v>33249723.229999967</v>
      </c>
      <c r="L70" s="115"/>
      <c r="M70" s="115"/>
      <c r="N70" s="115"/>
      <c r="O70" s="115"/>
      <c r="P70" s="115">
        <f>P67+P69</f>
        <v>-15747728.820000006</v>
      </c>
      <c r="Q70" s="115"/>
      <c r="R70" s="114"/>
      <c r="AB70" s="148"/>
    </row>
    <row r="71" spans="1:28" ht="18" customHeight="1">
      <c r="A71" s="149"/>
      <c r="B71" s="145" t="s">
        <v>271</v>
      </c>
      <c r="C71" s="145" t="s">
        <v>272</v>
      </c>
      <c r="D71" s="114"/>
      <c r="E71" s="114"/>
      <c r="F71" s="172"/>
      <c r="L71" s="115"/>
      <c r="M71" s="115"/>
      <c r="N71" s="115"/>
      <c r="O71" s="115"/>
      <c r="P71" s="115"/>
      <c r="Q71" s="115"/>
      <c r="R71" s="114"/>
      <c r="AB71" s="148"/>
    </row>
    <row r="72" spans="1:28" ht="18" customHeight="1">
      <c r="A72" s="149"/>
      <c r="B72" s="145"/>
      <c r="C72" s="114" t="s">
        <v>273</v>
      </c>
      <c r="D72" s="114"/>
      <c r="E72" s="114"/>
      <c r="F72" s="125">
        <v>14269994.88</v>
      </c>
      <c r="G72" s="115"/>
      <c r="H72" s="115"/>
      <c r="I72" s="115"/>
      <c r="J72" s="115"/>
      <c r="L72" s="125">
        <v>1462168.48</v>
      </c>
      <c r="M72" s="115"/>
      <c r="N72" s="115"/>
      <c r="O72" s="115"/>
      <c r="P72" s="115"/>
      <c r="Q72" s="115"/>
      <c r="R72" s="114"/>
      <c r="S72" s="235" t="s">
        <v>326</v>
      </c>
      <c r="T72" s="235"/>
      <c r="U72" s="235"/>
      <c r="V72" s="235"/>
      <c r="W72" s="235"/>
      <c r="X72" s="235" t="s">
        <v>274</v>
      </c>
      <c r="Y72" s="235"/>
      <c r="Z72" s="235"/>
      <c r="AA72" s="235"/>
      <c r="AB72" s="148"/>
    </row>
    <row r="73" spans="1:28" ht="18" customHeight="1">
      <c r="A73" s="149"/>
      <c r="B73" s="145"/>
      <c r="C73" s="114" t="s">
        <v>275</v>
      </c>
      <c r="D73" s="114"/>
      <c r="E73" s="114"/>
      <c r="F73" s="125">
        <v>0</v>
      </c>
      <c r="G73" s="115"/>
      <c r="I73" s="115"/>
      <c r="J73" s="115"/>
      <c r="L73" s="125">
        <v>0</v>
      </c>
      <c r="M73" s="115"/>
      <c r="O73" s="115"/>
      <c r="P73" s="115"/>
      <c r="Q73" s="115"/>
      <c r="R73" s="114"/>
      <c r="S73" s="232" t="s">
        <v>329</v>
      </c>
      <c r="T73" s="232"/>
      <c r="U73" s="232"/>
      <c r="V73" s="232"/>
      <c r="W73" s="232"/>
      <c r="X73" s="232" t="s">
        <v>276</v>
      </c>
      <c r="Y73" s="232"/>
      <c r="Z73" s="232"/>
      <c r="AA73" s="232"/>
      <c r="AB73" s="148"/>
    </row>
    <row r="74" spans="1:28" ht="18" customHeight="1">
      <c r="A74" s="149"/>
      <c r="B74" s="145"/>
      <c r="C74" s="114" t="s">
        <v>277</v>
      </c>
      <c r="D74" s="114"/>
      <c r="E74" s="114"/>
      <c r="F74" s="153">
        <v>0</v>
      </c>
      <c r="G74" s="115"/>
      <c r="H74" s="115">
        <f>SUM(F72:F74)</f>
        <v>14269994.88</v>
      </c>
      <c r="I74" s="115"/>
      <c r="J74" s="115"/>
      <c r="L74" s="153">
        <v>14048683.85</v>
      </c>
      <c r="M74" s="115"/>
      <c r="N74" s="115">
        <f>SUM(L72:L74)</f>
        <v>15510852.33</v>
      </c>
      <c r="O74" s="115"/>
      <c r="P74" s="115"/>
      <c r="Q74" s="115"/>
      <c r="R74" s="114"/>
      <c r="S74" s="157"/>
      <c r="T74" s="157"/>
      <c r="U74" s="157"/>
      <c r="V74" s="157"/>
      <c r="W74" s="157"/>
      <c r="X74" s="157"/>
      <c r="Y74" s="107"/>
      <c r="Z74" s="107"/>
      <c r="AA74" s="107"/>
      <c r="AB74" s="148"/>
    </row>
    <row r="75" spans="1:28" ht="18" customHeight="1">
      <c r="A75" s="149"/>
      <c r="B75" s="114"/>
      <c r="C75" s="145" t="s">
        <v>278</v>
      </c>
      <c r="D75" s="114"/>
      <c r="E75" s="114"/>
      <c r="F75" s="115"/>
      <c r="G75" s="115"/>
      <c r="H75" s="115"/>
      <c r="I75" s="115"/>
      <c r="J75" s="115"/>
      <c r="L75" s="115"/>
      <c r="M75" s="115"/>
      <c r="N75" s="115"/>
      <c r="O75" s="115"/>
      <c r="P75" s="115"/>
      <c r="Q75" s="115"/>
      <c r="R75" s="114"/>
      <c r="S75" s="157"/>
      <c r="T75" s="157"/>
      <c r="U75" s="157"/>
      <c r="V75" s="157"/>
      <c r="W75" s="107"/>
      <c r="X75" s="114"/>
      <c r="Y75" s="114"/>
      <c r="Z75" s="114"/>
      <c r="AA75" s="114"/>
      <c r="AB75" s="148"/>
    </row>
    <row r="76" spans="1:28" ht="18" customHeight="1">
      <c r="A76" s="149"/>
      <c r="B76" s="114"/>
      <c r="C76" s="114" t="s">
        <v>279</v>
      </c>
      <c r="D76" s="114"/>
      <c r="E76" s="114"/>
      <c r="F76" s="115">
        <v>27127870.84</v>
      </c>
      <c r="G76" s="115"/>
      <c r="H76" s="115"/>
      <c r="I76" s="115"/>
      <c r="J76" s="115"/>
      <c r="L76" s="115">
        <v>1624.3</v>
      </c>
      <c r="M76" s="115"/>
      <c r="N76" s="115"/>
      <c r="O76" s="115"/>
      <c r="P76" s="115"/>
      <c r="Q76" s="115"/>
      <c r="R76" s="114"/>
      <c r="S76" s="232" t="s">
        <v>280</v>
      </c>
      <c r="T76" s="232"/>
      <c r="U76" s="232"/>
      <c r="V76" s="232"/>
      <c r="W76" s="232"/>
      <c r="X76" s="232" t="s">
        <v>281</v>
      </c>
      <c r="Y76" s="232"/>
      <c r="Z76" s="232"/>
      <c r="AA76" s="232"/>
      <c r="AB76" s="148"/>
    </row>
    <row r="77" spans="1:28" ht="18" customHeight="1">
      <c r="A77" s="149"/>
      <c r="B77" s="114"/>
      <c r="C77" s="114" t="s">
        <v>282</v>
      </c>
      <c r="D77" s="114"/>
      <c r="E77" s="114"/>
      <c r="F77" s="153">
        <v>0</v>
      </c>
      <c r="G77" s="115"/>
      <c r="H77" s="153">
        <f>SUM(F76:F77)</f>
        <v>27127870.84</v>
      </c>
      <c r="I77" s="115"/>
      <c r="J77" s="153">
        <f>H74-H77</f>
        <v>-12857875.959999999</v>
      </c>
      <c r="L77" s="153">
        <v>48078.19</v>
      </c>
      <c r="M77" s="115"/>
      <c r="N77" s="153">
        <f>SUM(L76:L77)</f>
        <v>49702.490000000005</v>
      </c>
      <c r="O77" s="115"/>
      <c r="P77" s="153">
        <f>N74-N77</f>
        <v>15461149.84</v>
      </c>
      <c r="Q77" s="115"/>
      <c r="R77" s="114"/>
      <c r="AB77" s="148"/>
    </row>
    <row r="78" spans="1:28" ht="18" customHeight="1">
      <c r="A78" s="149"/>
      <c r="B78" s="114"/>
      <c r="C78" s="114" t="s">
        <v>283</v>
      </c>
      <c r="D78" s="114"/>
      <c r="E78" s="114"/>
      <c r="F78" s="115"/>
      <c r="G78" s="115"/>
      <c r="H78" s="115"/>
      <c r="I78" s="115"/>
      <c r="J78" s="115">
        <f>J70+J77</f>
        <v>20391847.269999966</v>
      </c>
      <c r="L78" s="115"/>
      <c r="M78" s="115"/>
      <c r="N78" s="115"/>
      <c r="O78" s="115"/>
      <c r="P78" s="115">
        <f>P70+P77</f>
        <v>-286578.98000000603</v>
      </c>
      <c r="Q78" s="115"/>
      <c r="R78" s="114"/>
      <c r="S78" s="114"/>
      <c r="T78" s="107"/>
      <c r="U78" s="107"/>
      <c r="V78" s="107"/>
      <c r="W78" s="114"/>
      <c r="X78" s="114"/>
      <c r="Y78" s="114"/>
      <c r="Z78" s="114"/>
      <c r="AA78" s="114"/>
      <c r="AB78" s="148"/>
    </row>
    <row r="79" spans="1:28" ht="18" customHeight="1">
      <c r="A79" s="149"/>
      <c r="B79" s="114"/>
      <c r="C79" s="145" t="s">
        <v>278</v>
      </c>
      <c r="D79" s="114"/>
      <c r="E79" s="114"/>
      <c r="F79" s="115"/>
      <c r="G79" s="115"/>
      <c r="H79" s="115"/>
      <c r="I79" s="115"/>
      <c r="J79" s="115"/>
      <c r="L79" s="115"/>
      <c r="M79" s="115"/>
      <c r="N79" s="115"/>
      <c r="O79" s="115"/>
      <c r="P79" s="115"/>
      <c r="Q79" s="115"/>
      <c r="R79" s="114"/>
      <c r="S79" s="114"/>
      <c r="T79" s="107"/>
      <c r="U79" s="107"/>
      <c r="V79" s="107"/>
      <c r="W79" s="107"/>
      <c r="X79" s="114"/>
      <c r="Y79" s="114"/>
      <c r="Z79" s="114"/>
      <c r="AA79" s="114"/>
      <c r="AB79" s="148"/>
    </row>
    <row r="80" spans="1:28" ht="18" customHeight="1">
      <c r="A80" s="149"/>
      <c r="B80" s="114" t="s">
        <v>66</v>
      </c>
      <c r="C80" s="114" t="s">
        <v>284</v>
      </c>
      <c r="D80" s="114"/>
      <c r="E80" s="114"/>
      <c r="F80" s="115"/>
      <c r="G80" s="115"/>
      <c r="H80" s="115">
        <v>0</v>
      </c>
      <c r="I80" s="115"/>
      <c r="J80" s="115"/>
      <c r="L80" s="115"/>
      <c r="M80" s="115"/>
      <c r="N80" s="115">
        <v>4757375.73</v>
      </c>
      <c r="O80" s="115"/>
      <c r="P80" s="115"/>
      <c r="Q80" s="115"/>
      <c r="R80" s="114"/>
      <c r="S80" s="157"/>
      <c r="T80" s="157"/>
      <c r="U80" s="157"/>
      <c r="V80" s="157"/>
      <c r="W80" s="157"/>
      <c r="X80" s="157"/>
      <c r="Y80" s="157"/>
      <c r="Z80" s="157"/>
      <c r="AA80" s="157"/>
      <c r="AB80" s="158"/>
    </row>
    <row r="81" spans="1:28" ht="18" customHeight="1">
      <c r="A81" s="149"/>
      <c r="B81" s="114"/>
      <c r="C81" s="114" t="s">
        <v>285</v>
      </c>
      <c r="D81" s="114"/>
      <c r="E81" s="114"/>
      <c r="F81" s="115"/>
      <c r="G81" s="115"/>
      <c r="H81" s="115"/>
      <c r="I81" s="115"/>
      <c r="J81" s="115"/>
      <c r="L81" s="115"/>
      <c r="M81" s="115"/>
      <c r="N81" s="115"/>
      <c r="O81" s="115"/>
      <c r="P81" s="115"/>
      <c r="Q81" s="115"/>
      <c r="R81" s="114"/>
      <c r="S81" s="232" t="s">
        <v>286</v>
      </c>
      <c r="T81" s="232"/>
      <c r="U81" s="232"/>
      <c r="V81" s="232"/>
      <c r="W81" s="232"/>
      <c r="X81" s="232" t="s">
        <v>327</v>
      </c>
      <c r="Y81" s="232"/>
      <c r="Z81" s="232"/>
      <c r="AA81" s="232"/>
      <c r="AB81" s="158"/>
    </row>
    <row r="82" spans="1:28" ht="18" customHeight="1">
      <c r="A82" s="149"/>
      <c r="B82" s="114"/>
      <c r="C82" s="114" t="s">
        <v>287</v>
      </c>
      <c r="D82" s="114"/>
      <c r="E82" s="114"/>
      <c r="F82" s="115"/>
      <c r="G82" s="115"/>
      <c r="H82" s="153">
        <f>H80</f>
        <v>0</v>
      </c>
      <c r="I82" s="115"/>
      <c r="J82" s="153">
        <f>H80-H82</f>
        <v>0</v>
      </c>
      <c r="L82" s="115"/>
      <c r="M82" s="115"/>
      <c r="N82" s="153">
        <f>N80</f>
        <v>4757375.73</v>
      </c>
      <c r="O82" s="115"/>
      <c r="P82" s="153">
        <f>N80-N82</f>
        <v>0</v>
      </c>
      <c r="Q82" s="115"/>
      <c r="R82" s="114"/>
      <c r="S82" s="232" t="s">
        <v>288</v>
      </c>
      <c r="T82" s="232"/>
      <c r="U82" s="232"/>
      <c r="V82" s="232"/>
      <c r="W82" s="232"/>
      <c r="X82" s="232" t="s">
        <v>328</v>
      </c>
      <c r="Y82" s="232"/>
      <c r="Z82" s="232"/>
      <c r="AA82" s="232"/>
      <c r="AB82" s="157"/>
    </row>
    <row r="83" spans="1:28" ht="18" customHeight="1" thickBot="1">
      <c r="A83" s="149"/>
      <c r="B83" s="114"/>
      <c r="C83" s="159" t="s">
        <v>289</v>
      </c>
      <c r="D83" s="114"/>
      <c r="E83" s="114"/>
      <c r="F83" s="115"/>
      <c r="G83" s="115"/>
      <c r="H83" s="115"/>
      <c r="I83" s="115"/>
      <c r="J83" s="160">
        <f>J78</f>
        <v>20391847.269999966</v>
      </c>
      <c r="L83" s="115"/>
      <c r="M83" s="115"/>
      <c r="N83" s="115"/>
      <c r="O83" s="115"/>
      <c r="P83" s="160">
        <f>P78</f>
        <v>-286578.98000000603</v>
      </c>
      <c r="Q83" s="115"/>
      <c r="R83" s="114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</row>
    <row r="84" spans="1:28" ht="14.25" thickTop="1">
      <c r="A84" s="149"/>
      <c r="B84" s="114"/>
      <c r="C84" s="128" t="s">
        <v>290</v>
      </c>
      <c r="D84" s="114"/>
      <c r="E84" s="114"/>
      <c r="F84" s="115"/>
      <c r="G84" s="115"/>
      <c r="H84" s="115"/>
      <c r="I84" s="115"/>
      <c r="J84" s="115">
        <f>-J85+J83</f>
        <v>15031393.169999966</v>
      </c>
      <c r="L84" s="115"/>
      <c r="M84" s="115"/>
      <c r="N84" s="115"/>
      <c r="O84" s="115"/>
      <c r="P84" s="115">
        <f>-P85+P83</f>
        <v>-14335262.830000006</v>
      </c>
      <c r="Q84" s="115"/>
      <c r="R84" s="114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</row>
    <row r="85" spans="1:28" ht="18" customHeight="1">
      <c r="A85" s="149"/>
      <c r="B85" s="114"/>
      <c r="C85" s="128" t="s">
        <v>291</v>
      </c>
      <c r="D85" s="114"/>
      <c r="E85" s="114"/>
      <c r="F85" s="115"/>
      <c r="G85" s="115"/>
      <c r="H85" s="115"/>
      <c r="I85" s="115"/>
      <c r="J85" s="115">
        <v>5360454.1</v>
      </c>
      <c r="L85" s="115"/>
      <c r="M85" s="115"/>
      <c r="N85" s="115"/>
      <c r="O85" s="115"/>
      <c r="P85" s="115">
        <v>14048683.85</v>
      </c>
      <c r="Q85" s="115"/>
      <c r="R85" s="114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</row>
    <row r="86" spans="1:28" ht="18" customHeight="1" thickBot="1">
      <c r="A86" s="149"/>
      <c r="B86" s="114"/>
      <c r="C86" s="128"/>
      <c r="D86" s="114"/>
      <c r="E86" s="114"/>
      <c r="F86" s="115"/>
      <c r="G86" s="115"/>
      <c r="H86" s="115"/>
      <c r="I86" s="115"/>
      <c r="J86" s="161">
        <f>SUM(J84:J85)</f>
        <v>20391847.269999966</v>
      </c>
      <c r="L86" s="115"/>
      <c r="M86" s="115"/>
      <c r="N86" s="115"/>
      <c r="O86" s="115"/>
      <c r="P86" s="161">
        <f>SUM(P84:P85)</f>
        <v>-286578.98000000603</v>
      </c>
      <c r="Q86" s="115"/>
      <c r="R86" s="114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</row>
    <row r="87" spans="1:28" ht="15.75" customHeight="1" thickBot="1" thickTop="1">
      <c r="A87" s="162"/>
      <c r="B87" s="163"/>
      <c r="C87" s="164"/>
      <c r="D87" s="163"/>
      <c r="E87" s="163"/>
      <c r="F87" s="173"/>
      <c r="G87" s="163"/>
      <c r="H87" s="163"/>
      <c r="I87" s="163"/>
      <c r="J87" s="163"/>
      <c r="K87" s="163"/>
      <c r="L87" s="163"/>
      <c r="M87" s="163"/>
      <c r="N87" s="165"/>
      <c r="O87" s="165"/>
      <c r="P87" s="165"/>
      <c r="Q87" s="166"/>
      <c r="R87" s="163"/>
      <c r="S87" s="163"/>
      <c r="T87" s="163"/>
      <c r="U87" s="167"/>
      <c r="V87" s="168"/>
      <c r="W87" s="168"/>
      <c r="X87" s="167"/>
      <c r="Y87" s="167"/>
      <c r="Z87" s="167"/>
      <c r="AA87" s="167"/>
      <c r="AB87" s="169"/>
    </row>
  </sheetData>
  <sheetProtection/>
  <mergeCells count="38">
    <mergeCell ref="F2:X2"/>
    <mergeCell ref="F3:X4"/>
    <mergeCell ref="F5:X5"/>
    <mergeCell ref="F6:X6"/>
    <mergeCell ref="F7:X7"/>
    <mergeCell ref="F8:X8"/>
    <mergeCell ref="X9:AA9"/>
    <mergeCell ref="F10:J10"/>
    <mergeCell ref="L10:P10"/>
    <mergeCell ref="Y10:Y11"/>
    <mergeCell ref="AA10:AA11"/>
    <mergeCell ref="B48:AA48"/>
    <mergeCell ref="B49:AA49"/>
    <mergeCell ref="B50:AA50"/>
    <mergeCell ref="B51:AA51"/>
    <mergeCell ref="F58:J58"/>
    <mergeCell ref="L58:P58"/>
    <mergeCell ref="B52:AA52"/>
    <mergeCell ref="B53:AA53"/>
    <mergeCell ref="B54:AA54"/>
    <mergeCell ref="B55:P55"/>
    <mergeCell ref="S55:AA56"/>
    <mergeCell ref="B56:P56"/>
    <mergeCell ref="Y57:Y58"/>
    <mergeCell ref="AA57:AA58"/>
    <mergeCell ref="S64:AA64"/>
    <mergeCell ref="S66:W67"/>
    <mergeCell ref="X66:AA67"/>
    <mergeCell ref="S72:W72"/>
    <mergeCell ref="X72:AA72"/>
    <mergeCell ref="S73:W73"/>
    <mergeCell ref="X73:AA73"/>
    <mergeCell ref="S76:W76"/>
    <mergeCell ref="X76:AA76"/>
    <mergeCell ref="S81:W81"/>
    <mergeCell ref="X81:AA81"/>
    <mergeCell ref="S82:W82"/>
    <mergeCell ref="X82:AA8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4"/>
  <sheetViews>
    <sheetView zoomScalePageLayoutView="0" workbookViewId="0" topLeftCell="E19">
      <selection activeCell="D38" sqref="D38"/>
    </sheetView>
  </sheetViews>
  <sheetFormatPr defaultColWidth="9.00390625" defaultRowHeight="12.75"/>
  <cols>
    <col min="1" max="1" width="5.125" style="0" customWidth="1"/>
    <col min="2" max="2" width="10.125" style="0" customWidth="1"/>
    <col min="3" max="3" width="14.50390625" style="0" customWidth="1"/>
    <col min="4" max="4" width="10.50390625" style="0" bestFit="1" customWidth="1"/>
    <col min="5" max="5" width="10.375" style="0" customWidth="1"/>
    <col min="6" max="6" width="18.125" style="0" customWidth="1"/>
    <col min="7" max="7" width="14.00390625" style="4" customWidth="1"/>
    <col min="8" max="9" width="17.50390625" style="0" customWidth="1"/>
    <col min="10" max="10" width="19.625" style="0" customWidth="1"/>
    <col min="11" max="11" width="70.00390625" style="7" customWidth="1"/>
    <col min="12" max="12" width="16.50390625" style="1" customWidth="1"/>
    <col min="13" max="13" width="24.375" style="0" bestFit="1" customWidth="1"/>
    <col min="14" max="14" width="14.00390625" style="0" customWidth="1"/>
    <col min="15" max="16" width="12.625" style="0" bestFit="1" customWidth="1"/>
    <col min="17" max="17" width="11.625" style="0" bestFit="1" customWidth="1"/>
  </cols>
  <sheetData>
    <row r="1" spans="1:12" ht="18">
      <c r="A1" s="15"/>
      <c r="B1" s="16"/>
      <c r="C1" s="16"/>
      <c r="D1" s="17" t="s">
        <v>25</v>
      </c>
      <c r="E1" s="17"/>
      <c r="F1" s="17"/>
      <c r="G1" s="18"/>
      <c r="H1" s="16"/>
      <c r="I1" s="16"/>
      <c r="J1" s="5"/>
      <c r="K1" s="8"/>
      <c r="L1" s="32"/>
    </row>
    <row r="2" spans="1:12" ht="15.75" customHeight="1">
      <c r="A2" s="19"/>
      <c r="B2" s="5"/>
      <c r="C2" s="5"/>
      <c r="D2" s="20" t="s">
        <v>26</v>
      </c>
      <c r="E2" s="21"/>
      <c r="F2" s="21"/>
      <c r="G2" s="22"/>
      <c r="H2" s="5"/>
      <c r="I2" s="5"/>
      <c r="J2" s="5"/>
      <c r="K2" s="8"/>
      <c r="L2" s="32"/>
    </row>
    <row r="3" spans="1:12" ht="20.25">
      <c r="A3" s="19"/>
      <c r="B3" s="5"/>
      <c r="C3" s="5"/>
      <c r="D3" s="23" t="s">
        <v>24</v>
      </c>
      <c r="E3" s="23"/>
      <c r="F3" s="23"/>
      <c r="G3" s="24"/>
      <c r="H3" s="5"/>
      <c r="I3" s="5"/>
      <c r="J3" s="5"/>
      <c r="K3" s="8">
        <f>56972844.38+12142367.6+840</f>
        <v>69116051.98</v>
      </c>
      <c r="L3" s="32"/>
    </row>
    <row r="4" spans="1:16" ht="12.75" customHeight="1">
      <c r="A4" s="19"/>
      <c r="B4" s="5"/>
      <c r="C4" s="5"/>
      <c r="D4" s="25"/>
      <c r="E4" s="25"/>
      <c r="F4" s="25"/>
      <c r="G4" s="26"/>
      <c r="H4" s="5"/>
      <c r="I4" s="5"/>
      <c r="J4" s="5"/>
      <c r="K4" s="8"/>
      <c r="L4" s="30"/>
      <c r="M4" s="182"/>
      <c r="N4" s="182"/>
      <c r="O4" s="182"/>
      <c r="P4" s="182"/>
    </row>
    <row r="5" spans="1:16" ht="15.75" customHeight="1">
      <c r="A5" s="19"/>
      <c r="B5" s="5"/>
      <c r="C5" s="27" t="s">
        <v>0</v>
      </c>
      <c r="D5" s="5"/>
      <c r="E5" s="5"/>
      <c r="F5" s="5"/>
      <c r="G5" s="6"/>
      <c r="H5" s="5"/>
      <c r="I5" s="5"/>
      <c r="J5" s="5"/>
      <c r="K5" s="8"/>
      <c r="L5" s="30"/>
      <c r="M5" s="182"/>
      <c r="N5" s="182"/>
      <c r="O5" s="182"/>
      <c r="P5" s="182"/>
    </row>
    <row r="6" spans="1:16" ht="16.5" customHeight="1">
      <c r="A6" s="19"/>
      <c r="B6" s="5"/>
      <c r="C6" s="27" t="s">
        <v>28</v>
      </c>
      <c r="D6" s="27"/>
      <c r="E6" s="27"/>
      <c r="F6" s="27"/>
      <c r="G6" s="11"/>
      <c r="H6" s="27"/>
      <c r="I6" s="27"/>
      <c r="J6" s="5"/>
      <c r="K6" s="8"/>
      <c r="L6" s="30"/>
      <c r="M6" s="182"/>
      <c r="N6" s="182"/>
      <c r="O6" s="182"/>
      <c r="P6" s="182"/>
    </row>
    <row r="7" spans="1:16" ht="13.5">
      <c r="A7" s="19"/>
      <c r="B7" s="28" t="s">
        <v>1</v>
      </c>
      <c r="C7" s="5"/>
      <c r="D7" s="5"/>
      <c r="E7" s="5"/>
      <c r="F7" s="5"/>
      <c r="G7" s="6"/>
      <c r="H7" s="29" t="s">
        <v>27</v>
      </c>
      <c r="I7" s="29"/>
      <c r="J7" s="5"/>
      <c r="K7" s="9" t="s">
        <v>2</v>
      </c>
      <c r="L7" s="30"/>
      <c r="M7" s="2"/>
      <c r="N7" s="184"/>
      <c r="O7" s="184"/>
      <c r="P7" s="184"/>
    </row>
    <row r="8" spans="1:16" ht="12.75">
      <c r="A8" s="19"/>
      <c r="B8" s="27" t="s">
        <v>3</v>
      </c>
      <c r="C8" s="5"/>
      <c r="D8" s="5"/>
      <c r="E8" s="5"/>
      <c r="F8" s="5"/>
      <c r="G8" s="6"/>
      <c r="H8" s="30"/>
      <c r="I8" s="30"/>
      <c r="J8" s="5" t="s">
        <v>64</v>
      </c>
      <c r="K8" s="10" t="s">
        <v>29</v>
      </c>
      <c r="L8" s="35"/>
      <c r="M8" s="184"/>
      <c r="N8" s="184"/>
      <c r="O8" s="184"/>
      <c r="P8" s="184"/>
    </row>
    <row r="9" spans="1:16" ht="12.75">
      <c r="A9" s="19"/>
      <c r="B9" s="5"/>
      <c r="C9" s="5" t="s">
        <v>57</v>
      </c>
      <c r="D9" s="5"/>
      <c r="E9" s="5"/>
      <c r="F9" s="31"/>
      <c r="G9" s="6"/>
      <c r="H9" s="35">
        <v>5503282.31</v>
      </c>
      <c r="I9" s="32"/>
      <c r="J9" s="12" t="s">
        <v>46</v>
      </c>
      <c r="K9" s="10" t="s">
        <v>40</v>
      </c>
      <c r="L9" s="185">
        <v>42881493.63</v>
      </c>
      <c r="M9" s="183"/>
      <c r="N9" s="184" t="s">
        <v>310</v>
      </c>
      <c r="O9" s="183">
        <f>L9+L10</f>
        <v>62314590.32000001</v>
      </c>
      <c r="P9" s="183">
        <f>L9+L10+L12+L13+L14+L15+L16+L17+L18+L19+L20+L21</f>
        <v>67252976.25</v>
      </c>
    </row>
    <row r="10" spans="1:16" ht="12.75">
      <c r="A10" s="19"/>
      <c r="B10" s="5"/>
      <c r="C10" s="5"/>
      <c r="D10" s="5"/>
      <c r="E10" s="5"/>
      <c r="F10" s="5"/>
      <c r="G10" s="6"/>
      <c r="H10" s="32"/>
      <c r="I10" s="32"/>
      <c r="J10" s="12" t="s">
        <v>46</v>
      </c>
      <c r="K10" s="10" t="s">
        <v>30</v>
      </c>
      <c r="L10" s="185">
        <v>19433096.69</v>
      </c>
      <c r="M10" s="183" t="s">
        <v>296</v>
      </c>
      <c r="N10" s="183" t="s">
        <v>310</v>
      </c>
      <c r="O10" s="184"/>
      <c r="P10" s="184"/>
    </row>
    <row r="11" spans="1:16" ht="12.75">
      <c r="A11" s="19"/>
      <c r="B11" s="5"/>
      <c r="C11" s="5" t="s">
        <v>20</v>
      </c>
      <c r="D11" s="5"/>
      <c r="E11" s="5"/>
      <c r="F11" s="5"/>
      <c r="G11" s="13"/>
      <c r="H11" s="32">
        <f>SUM(H8:H10)</f>
        <v>5503282.31</v>
      </c>
      <c r="I11" s="32"/>
      <c r="J11" s="12" t="s">
        <v>46</v>
      </c>
      <c r="K11" s="10" t="s">
        <v>41</v>
      </c>
      <c r="L11" s="193">
        <v>1058540.78</v>
      </c>
      <c r="M11" s="183"/>
      <c r="N11" s="184"/>
      <c r="O11" s="183"/>
      <c r="P11" s="184"/>
    </row>
    <row r="12" spans="1:16" ht="12.75">
      <c r="A12" s="33"/>
      <c r="B12" s="27" t="s">
        <v>4</v>
      </c>
      <c r="C12" s="5"/>
      <c r="D12" s="5"/>
      <c r="E12" s="5"/>
      <c r="F12" s="5"/>
      <c r="G12" s="6"/>
      <c r="H12" s="32"/>
      <c r="I12" s="32"/>
      <c r="J12" s="12" t="s">
        <v>46</v>
      </c>
      <c r="K12" s="10" t="s">
        <v>42</v>
      </c>
      <c r="L12" s="185">
        <v>84639.48</v>
      </c>
      <c r="M12" s="184" t="s">
        <v>296</v>
      </c>
      <c r="N12" s="184" t="s">
        <v>305</v>
      </c>
      <c r="O12" s="184"/>
      <c r="P12" s="184"/>
    </row>
    <row r="13" spans="1:16" ht="12.75">
      <c r="A13" s="19"/>
      <c r="B13" s="5" t="s">
        <v>56</v>
      </c>
      <c r="C13" s="5" t="s">
        <v>57</v>
      </c>
      <c r="D13" s="5"/>
      <c r="E13" s="5" t="s">
        <v>58</v>
      </c>
      <c r="F13" s="5"/>
      <c r="G13" s="6"/>
      <c r="H13" s="32">
        <f>69116051.98-H9</f>
        <v>63612769.67</v>
      </c>
      <c r="I13" s="32"/>
      <c r="J13" s="12" t="s">
        <v>47</v>
      </c>
      <c r="K13" s="10" t="s">
        <v>31</v>
      </c>
      <c r="L13" s="186">
        <f>762979.44</f>
        <v>762979.44</v>
      </c>
      <c r="M13" s="184"/>
      <c r="N13" s="184" t="s">
        <v>323</v>
      </c>
      <c r="O13" s="184"/>
      <c r="P13" s="184"/>
    </row>
    <row r="14" spans="1:16" ht="12.75">
      <c r="A14" s="19"/>
      <c r="B14" s="5"/>
      <c r="C14" s="5" t="s">
        <v>57</v>
      </c>
      <c r="D14" s="5"/>
      <c r="E14" s="5" t="s">
        <v>59</v>
      </c>
      <c r="F14" s="5"/>
      <c r="G14" s="6"/>
      <c r="H14" s="32"/>
      <c r="I14" s="32"/>
      <c r="J14" s="12" t="s">
        <v>47</v>
      </c>
      <c r="K14" s="10" t="s">
        <v>32</v>
      </c>
      <c r="L14" s="186">
        <f>536459.04</f>
        <v>536459.04</v>
      </c>
      <c r="M14" s="183"/>
      <c r="N14" s="184" t="s">
        <v>315</v>
      </c>
      <c r="O14" s="184"/>
      <c r="P14" s="184"/>
    </row>
    <row r="15" spans="1:16" ht="12.75">
      <c r="A15" s="19"/>
      <c r="B15" s="5"/>
      <c r="C15" s="5" t="s">
        <v>5</v>
      </c>
      <c r="D15" s="5"/>
      <c r="E15" s="5"/>
      <c r="F15" s="5"/>
      <c r="G15" s="6"/>
      <c r="H15" s="32">
        <f>H11+H13+H14</f>
        <v>69116051.98</v>
      </c>
      <c r="I15" s="32"/>
      <c r="J15" s="12" t="s">
        <v>47</v>
      </c>
      <c r="K15" s="10" t="s">
        <v>33</v>
      </c>
      <c r="L15" s="186">
        <f>305800.13</f>
        <v>305800.13</v>
      </c>
      <c r="M15" s="183"/>
      <c r="N15" s="183" t="s">
        <v>322</v>
      </c>
      <c r="O15" s="183">
        <f>L15+L21</f>
        <v>417804.01</v>
      </c>
      <c r="P15" s="184"/>
    </row>
    <row r="16" spans="1:16" ht="12.75">
      <c r="A16" s="33"/>
      <c r="B16" s="34"/>
      <c r="C16" s="5"/>
      <c r="D16" s="5"/>
      <c r="E16" s="5"/>
      <c r="F16" s="5"/>
      <c r="G16" s="13"/>
      <c r="H16" s="5"/>
      <c r="I16" s="5"/>
      <c r="J16" s="12" t="s">
        <v>47</v>
      </c>
      <c r="K16" s="10" t="s">
        <v>34</v>
      </c>
      <c r="L16" s="178">
        <f>2287953.5-84639.48</f>
        <v>2203314.02</v>
      </c>
      <c r="M16" s="183"/>
      <c r="N16" s="184" t="s">
        <v>321</v>
      </c>
      <c r="O16" s="184"/>
      <c r="P16" s="184"/>
    </row>
    <row r="17" spans="1:16" ht="12.75">
      <c r="A17" s="33"/>
      <c r="B17" s="12"/>
      <c r="C17" s="27" t="s">
        <v>6</v>
      </c>
      <c r="D17" s="5"/>
      <c r="E17" s="5"/>
      <c r="F17" s="5"/>
      <c r="G17" s="6"/>
      <c r="H17" s="32"/>
      <c r="I17" s="32"/>
      <c r="J17" s="12" t="s">
        <v>48</v>
      </c>
      <c r="K17" s="10" t="s">
        <v>35</v>
      </c>
      <c r="L17" s="185">
        <f>200000</f>
        <v>200000</v>
      </c>
      <c r="M17" s="183"/>
      <c r="N17" s="184" t="s">
        <v>306</v>
      </c>
      <c r="O17" s="184"/>
      <c r="P17" s="184"/>
    </row>
    <row r="18" spans="1:17" ht="12.75">
      <c r="A18" s="33"/>
      <c r="B18" s="12"/>
      <c r="C18" s="5" t="s">
        <v>57</v>
      </c>
      <c r="D18" s="5"/>
      <c r="E18" s="5"/>
      <c r="F18" s="5"/>
      <c r="G18" s="6"/>
      <c r="H18" s="35">
        <v>4869487.98</v>
      </c>
      <c r="I18" s="32"/>
      <c r="J18" s="12" t="s">
        <v>49</v>
      </c>
      <c r="K18" s="10" t="s">
        <v>36</v>
      </c>
      <c r="L18" s="185">
        <f>320048.19</f>
        <v>320048.19</v>
      </c>
      <c r="M18" s="183"/>
      <c r="N18" s="184" t="s">
        <v>307</v>
      </c>
      <c r="O18" s="183">
        <f>L17+L18+L19+L21</f>
        <v>962434.4700000001</v>
      </c>
      <c r="P18" s="183">
        <f>L17+L18+L19</f>
        <v>850430.5900000001</v>
      </c>
      <c r="Q18" s="1">
        <f>P18+L13</f>
        <v>1613410.03</v>
      </c>
    </row>
    <row r="19" spans="1:16" ht="12.75">
      <c r="A19" s="33"/>
      <c r="B19" s="5" t="s">
        <v>60</v>
      </c>
      <c r="C19" s="5"/>
      <c r="D19" s="5"/>
      <c r="E19" s="5"/>
      <c r="F19" s="5"/>
      <c r="G19" s="6"/>
      <c r="H19" s="32">
        <f>H15-H18</f>
        <v>64246564</v>
      </c>
      <c r="I19" s="32"/>
      <c r="J19" s="12" t="s">
        <v>49</v>
      </c>
      <c r="K19" s="10" t="s">
        <v>37</v>
      </c>
      <c r="L19" s="185">
        <f>330382.4</f>
        <v>330382.4</v>
      </c>
      <c r="M19" s="183"/>
      <c r="N19" s="184" t="s">
        <v>307</v>
      </c>
      <c r="O19" s="184"/>
      <c r="P19" s="184"/>
    </row>
    <row r="20" spans="1:16" ht="12.75">
      <c r="A20" s="19"/>
      <c r="B20" s="5"/>
      <c r="C20" s="5"/>
      <c r="D20" s="5"/>
      <c r="E20" s="5"/>
      <c r="F20" s="5"/>
      <c r="G20" s="6"/>
      <c r="H20" s="5">
        <f>B20</f>
        <v>0</v>
      </c>
      <c r="I20" s="5"/>
      <c r="J20" s="12" t="s">
        <v>50</v>
      </c>
      <c r="K20" s="10" t="s">
        <v>38</v>
      </c>
      <c r="L20" s="185">
        <v>82759.35</v>
      </c>
      <c r="M20" s="184" t="s">
        <v>296</v>
      </c>
      <c r="N20" s="184" t="s">
        <v>308</v>
      </c>
      <c r="O20" s="184"/>
      <c r="P20" s="184"/>
    </row>
    <row r="21" spans="1:16" ht="12.75">
      <c r="A21" s="33"/>
      <c r="B21" s="27" t="s">
        <v>8</v>
      </c>
      <c r="C21" s="5"/>
      <c r="D21" s="5"/>
      <c r="E21" s="5"/>
      <c r="F21" s="5"/>
      <c r="G21" s="6"/>
      <c r="H21" s="32"/>
      <c r="I21" s="32"/>
      <c r="J21" s="12" t="s">
        <v>50</v>
      </c>
      <c r="K21" s="10" t="s">
        <v>39</v>
      </c>
      <c r="L21" s="185">
        <v>112003.88</v>
      </c>
      <c r="M21" s="184" t="s">
        <v>296</v>
      </c>
      <c r="N21" s="184" t="s">
        <v>309</v>
      </c>
      <c r="O21" s="184"/>
      <c r="P21" s="184"/>
    </row>
    <row r="22" spans="1:16" ht="12.75">
      <c r="A22" s="175">
        <v>60</v>
      </c>
      <c r="B22" s="176">
        <v>60</v>
      </c>
      <c r="C22" s="27" t="s">
        <v>45</v>
      </c>
      <c r="D22" s="27"/>
      <c r="E22" s="27"/>
      <c r="F22" s="27"/>
      <c r="G22" s="11"/>
      <c r="H22" s="35">
        <f>45385541.35+53563.05+4392.48+13568.7+23884.72+20256.15+91606.23+105900.54+1818427.1+43604.72+11373.1+69727.68+615193.18+99261.03+174340.65+75429.43+4522+25033.22+2000</f>
        <v>48637625.32999999</v>
      </c>
      <c r="I22" s="35"/>
      <c r="J22" s="12" t="s">
        <v>50</v>
      </c>
      <c r="L22" s="185"/>
      <c r="M22" s="184"/>
      <c r="N22" s="184"/>
      <c r="O22" s="184"/>
      <c r="P22" s="184"/>
    </row>
    <row r="23" spans="1:16" ht="12.75">
      <c r="A23" s="175">
        <v>61</v>
      </c>
      <c r="B23" s="176">
        <v>61</v>
      </c>
      <c r="C23" s="27" t="s">
        <v>9</v>
      </c>
      <c r="D23" s="27"/>
      <c r="E23" s="27"/>
      <c r="F23" s="27"/>
      <c r="G23" s="11"/>
      <c r="H23" s="35">
        <v>3094122.63</v>
      </c>
      <c r="I23" s="35"/>
      <c r="J23" s="12" t="s">
        <v>51</v>
      </c>
      <c r="L23" s="185"/>
      <c r="M23" s="184"/>
      <c r="N23" s="184"/>
      <c r="O23" s="184"/>
      <c r="P23" s="184"/>
    </row>
    <row r="24" spans="1:16" ht="12.75">
      <c r="A24" s="175">
        <v>62</v>
      </c>
      <c r="B24" s="176">
        <v>62</v>
      </c>
      <c r="C24" s="27" t="s">
        <v>10</v>
      </c>
      <c r="D24" s="27"/>
      <c r="E24" s="27"/>
      <c r="F24" s="27"/>
      <c r="G24" s="11"/>
      <c r="H24" s="35">
        <v>2443509.38</v>
      </c>
      <c r="I24" s="35"/>
      <c r="J24" s="12" t="s">
        <v>51</v>
      </c>
      <c r="L24" s="185"/>
      <c r="M24" s="183"/>
      <c r="N24" s="184">
        <f>67252976.25+1100+87004677.4+1141765.16+529771.03</f>
        <v>155930289.84</v>
      </c>
      <c r="O24" s="184"/>
      <c r="P24" s="184"/>
    </row>
    <row r="25" spans="1:16" ht="12.75">
      <c r="A25" s="175">
        <v>63</v>
      </c>
      <c r="B25" s="176">
        <v>63</v>
      </c>
      <c r="C25" s="27" t="s">
        <v>11</v>
      </c>
      <c r="D25" s="27"/>
      <c r="E25" s="27"/>
      <c r="F25" s="27"/>
      <c r="G25" s="11"/>
      <c r="H25" s="35">
        <f>2837.61+11844.32</f>
        <v>14681.93</v>
      </c>
      <c r="I25" s="35"/>
      <c r="J25" s="5"/>
      <c r="K25" s="8"/>
      <c r="L25" s="185"/>
      <c r="M25" s="183"/>
      <c r="N25" s="184"/>
      <c r="O25" s="184"/>
      <c r="P25" s="184"/>
    </row>
    <row r="26" spans="1:16" ht="12.75">
      <c r="A26" s="175">
        <v>64</v>
      </c>
      <c r="B26" s="176">
        <v>64</v>
      </c>
      <c r="C26" s="177" t="s">
        <v>12</v>
      </c>
      <c r="D26" s="27"/>
      <c r="E26" s="27"/>
      <c r="F26" s="27"/>
      <c r="G26" s="11"/>
      <c r="H26" s="35">
        <v>67563.48</v>
      </c>
      <c r="I26" s="35"/>
      <c r="J26" s="12"/>
      <c r="K26" s="8"/>
      <c r="L26" s="185"/>
      <c r="M26" s="183"/>
      <c r="N26" s="184"/>
      <c r="O26" s="184"/>
      <c r="P26" s="184"/>
    </row>
    <row r="27" spans="1:16" ht="12.75">
      <c r="A27" s="175">
        <v>65</v>
      </c>
      <c r="B27" s="176">
        <v>65</v>
      </c>
      <c r="C27" s="27" t="s">
        <v>13</v>
      </c>
      <c r="D27" s="27"/>
      <c r="E27" s="27"/>
      <c r="F27" s="27"/>
      <c r="G27" s="11"/>
      <c r="H27" s="35">
        <v>620.7</v>
      </c>
      <c r="I27" s="35"/>
      <c r="J27" s="5"/>
      <c r="K27" s="10" t="s">
        <v>54</v>
      </c>
      <c r="L27" s="185">
        <f>SUM(L9:L26)</f>
        <v>68311517.03</v>
      </c>
      <c r="M27" s="183">
        <f>L27-67252976.25</f>
        <v>1058540.7800000012</v>
      </c>
      <c r="N27" s="184"/>
      <c r="O27" s="184"/>
      <c r="P27" s="184"/>
    </row>
    <row r="28" spans="1:16" ht="12.75">
      <c r="A28" s="175">
        <v>66</v>
      </c>
      <c r="B28" s="176">
        <v>66</v>
      </c>
      <c r="C28" s="27" t="s">
        <v>14</v>
      </c>
      <c r="D28" s="27"/>
      <c r="E28" s="27"/>
      <c r="F28" s="27"/>
      <c r="G28" s="11"/>
      <c r="H28" s="35">
        <v>4827544.25</v>
      </c>
      <c r="I28" s="35"/>
      <c r="J28" s="5"/>
      <c r="K28" s="10" t="s">
        <v>7</v>
      </c>
      <c r="L28" s="185"/>
      <c r="M28" s="183"/>
      <c r="N28" s="184"/>
      <c r="O28" s="184"/>
      <c r="P28" s="184"/>
    </row>
    <row r="29" spans="1:16" ht="25.5">
      <c r="A29" s="33"/>
      <c r="B29" s="5"/>
      <c r="C29" s="5" t="s">
        <v>15</v>
      </c>
      <c r="D29" s="5"/>
      <c r="E29" s="5"/>
      <c r="F29" s="5"/>
      <c r="G29" s="6"/>
      <c r="H29" s="35"/>
      <c r="I29" s="35"/>
      <c r="J29" s="5"/>
      <c r="K29" s="7" t="s">
        <v>299</v>
      </c>
      <c r="L29" s="183">
        <v>42081.16</v>
      </c>
      <c r="M29" s="183" t="s">
        <v>296</v>
      </c>
      <c r="N29" s="184">
        <v>75</v>
      </c>
      <c r="O29" s="184"/>
      <c r="P29" s="183">
        <f>L30+L31+L32+L33</f>
        <v>87004677.4</v>
      </c>
    </row>
    <row r="30" spans="1:16" ht="13.5">
      <c r="A30" s="175"/>
      <c r="B30" s="176">
        <v>67</v>
      </c>
      <c r="C30" s="27" t="s">
        <v>67</v>
      </c>
      <c r="D30" s="27"/>
      <c r="E30" s="27"/>
      <c r="F30" s="27"/>
      <c r="G30" s="11"/>
      <c r="H30" s="35">
        <f>17720.74+431236.11</f>
        <v>448956.85</v>
      </c>
      <c r="I30" s="35"/>
      <c r="J30" s="5"/>
      <c r="K30" s="181" t="s">
        <v>301</v>
      </c>
      <c r="L30" s="78">
        <f>23811134+2027404.12+549632.92+1333043.07</f>
        <v>27721214.110000003</v>
      </c>
      <c r="M30" s="183"/>
      <c r="N30" s="183" t="s">
        <v>313</v>
      </c>
      <c r="O30" s="183"/>
      <c r="P30" s="184"/>
    </row>
    <row r="31" spans="1:16" ht="12.75">
      <c r="A31" s="33"/>
      <c r="B31" s="27" t="s">
        <v>16</v>
      </c>
      <c r="C31" s="27"/>
      <c r="D31" s="27"/>
      <c r="E31" s="5"/>
      <c r="F31" s="5"/>
      <c r="G31" s="6"/>
      <c r="H31" s="32">
        <f>SUM(H22:H30)</f>
        <v>59534624.55</v>
      </c>
      <c r="I31" s="32"/>
      <c r="J31" s="5"/>
      <c r="K31" s="181" t="s">
        <v>302</v>
      </c>
      <c r="L31" s="185">
        <f>41619136.05-L30-77400</f>
        <v>13820521.939999994</v>
      </c>
      <c r="M31" s="183"/>
      <c r="N31" s="184" t="s">
        <v>313</v>
      </c>
      <c r="O31" s="184"/>
      <c r="P31" s="184"/>
    </row>
    <row r="32" spans="1:16" ht="13.5">
      <c r="A32" s="36" t="s">
        <v>17</v>
      </c>
      <c r="B32" s="37" t="s">
        <v>18</v>
      </c>
      <c r="C32" s="37"/>
      <c r="D32" s="37"/>
      <c r="E32" s="25"/>
      <c r="F32" s="25"/>
      <c r="G32" s="38"/>
      <c r="H32" s="39">
        <f>L44-H31-H19</f>
        <v>33249723.229999974</v>
      </c>
      <c r="I32" s="39"/>
      <c r="J32" s="12" t="s">
        <v>47</v>
      </c>
      <c r="K32" s="179" t="s">
        <v>312</v>
      </c>
      <c r="L32" s="183">
        <v>77400</v>
      </c>
      <c r="M32" s="187"/>
      <c r="N32" s="184" t="s">
        <v>314</v>
      </c>
      <c r="O32" s="184"/>
      <c r="P32" s="183">
        <f>L29+L34+L35+L37+L38+L39+L40</f>
        <v>1183846.3199999998</v>
      </c>
    </row>
    <row r="33" spans="1:16" ht="13.5">
      <c r="A33" s="19"/>
      <c r="B33" s="28" t="s">
        <v>19</v>
      </c>
      <c r="C33" s="28"/>
      <c r="D33" s="28"/>
      <c r="E33" s="28"/>
      <c r="F33" s="28"/>
      <c r="G33" s="14"/>
      <c r="H33" s="40">
        <f>H32+H31+H19</f>
        <v>157030911.77999997</v>
      </c>
      <c r="I33" s="40"/>
      <c r="J33" s="12" t="s">
        <v>52</v>
      </c>
      <c r="K33" s="181" t="s">
        <v>44</v>
      </c>
      <c r="L33" s="183">
        <f>45385541.35</f>
        <v>45385541.35</v>
      </c>
      <c r="M33" s="188" t="s">
        <v>297</v>
      </c>
      <c r="N33" s="188">
        <v>74000101011</v>
      </c>
      <c r="O33" s="183"/>
      <c r="P33" s="183"/>
    </row>
    <row r="34" spans="1:16" ht="12.75">
      <c r="A34" s="19"/>
      <c r="B34" s="5"/>
      <c r="C34" s="5"/>
      <c r="D34" s="5"/>
      <c r="E34" s="5"/>
      <c r="F34" s="5"/>
      <c r="G34" s="6"/>
      <c r="H34" s="5"/>
      <c r="I34" s="5"/>
      <c r="J34" s="12" t="s">
        <v>47</v>
      </c>
      <c r="K34" s="8" t="s">
        <v>298</v>
      </c>
      <c r="L34" s="186">
        <f>45722.59+288504.73+26184</f>
        <v>360411.31999999995</v>
      </c>
      <c r="M34" s="184"/>
      <c r="N34" s="184">
        <v>75</v>
      </c>
      <c r="O34" s="184"/>
      <c r="P34" s="183">
        <f>L34+L35+L37+L38+L39+L40</f>
        <v>1141765.1600000001</v>
      </c>
    </row>
    <row r="35" spans="1:16" ht="12.75">
      <c r="A35" s="19"/>
      <c r="B35" s="5"/>
      <c r="C35" s="27" t="s">
        <v>21</v>
      </c>
      <c r="D35" s="27"/>
      <c r="E35" s="5"/>
      <c r="F35" s="5"/>
      <c r="G35" s="11" t="s">
        <v>22</v>
      </c>
      <c r="H35" s="5"/>
      <c r="I35" s="5"/>
      <c r="J35" s="12" t="s">
        <v>47</v>
      </c>
      <c r="K35" s="180" t="s">
        <v>53</v>
      </c>
      <c r="L35" s="185">
        <f>22046.3</f>
        <v>22046.3</v>
      </c>
      <c r="M35" s="184"/>
      <c r="N35" s="184" t="s">
        <v>311</v>
      </c>
      <c r="O35" s="184"/>
      <c r="P35" s="183">
        <f>P34+L29</f>
        <v>1183846.32</v>
      </c>
    </row>
    <row r="36" spans="1:16" ht="12.75">
      <c r="A36" s="33"/>
      <c r="B36" s="5"/>
      <c r="C36" s="5"/>
      <c r="D36" s="5"/>
      <c r="E36" s="5"/>
      <c r="F36" s="5"/>
      <c r="G36" s="6"/>
      <c r="H36" s="41"/>
      <c r="I36" s="41"/>
      <c r="J36" s="12" t="s">
        <v>47</v>
      </c>
      <c r="K36" s="179" t="s">
        <v>319</v>
      </c>
      <c r="L36" s="185">
        <f>529732.38+38.65+1100</f>
        <v>530871.03</v>
      </c>
      <c r="M36" s="188"/>
      <c r="N36" s="184" t="s">
        <v>320</v>
      </c>
      <c r="O36" s="184"/>
      <c r="P36" s="184"/>
    </row>
    <row r="37" spans="1:16" ht="12.75">
      <c r="A37" s="19"/>
      <c r="B37" s="5"/>
      <c r="C37" s="5"/>
      <c r="D37" s="5"/>
      <c r="E37" s="5"/>
      <c r="F37" s="5"/>
      <c r="G37" s="6"/>
      <c r="H37" s="5"/>
      <c r="I37" s="5"/>
      <c r="J37" s="12" t="s">
        <v>47</v>
      </c>
      <c r="K37" s="8" t="s">
        <v>63</v>
      </c>
      <c r="L37" s="185">
        <f>10+18175.65+8198.04+4340</f>
        <v>30723.690000000002</v>
      </c>
      <c r="M37" s="188"/>
      <c r="N37" s="184">
        <v>75</v>
      </c>
      <c r="O37" s="184"/>
      <c r="P37" s="184"/>
    </row>
    <row r="38" spans="1:16" ht="12.75">
      <c r="A38" s="19"/>
      <c r="B38" s="5"/>
      <c r="C38" s="5"/>
      <c r="D38" s="5"/>
      <c r="E38" s="5"/>
      <c r="F38" s="5"/>
      <c r="G38" s="6"/>
      <c r="H38" s="5"/>
      <c r="I38" s="5"/>
      <c r="J38" s="12" t="s">
        <v>47</v>
      </c>
      <c r="K38" s="7" t="s">
        <v>61</v>
      </c>
      <c r="L38" s="186">
        <f>266103.46</f>
        <v>266103.46</v>
      </c>
      <c r="M38" s="188"/>
      <c r="N38" s="184" t="s">
        <v>316</v>
      </c>
      <c r="O38" s="184"/>
      <c r="P38" s="184"/>
    </row>
    <row r="39" spans="1:16" ht="25.5">
      <c r="A39" s="19"/>
      <c r="B39" s="5"/>
      <c r="C39" t="s">
        <v>65</v>
      </c>
      <c r="D39" s="6">
        <v>550115.28</v>
      </c>
      <c r="E39" s="5"/>
      <c r="F39" s="5">
        <f>59632603.66-58912652.74</f>
        <v>719950.9199999943</v>
      </c>
      <c r="G39" s="6"/>
      <c r="H39" s="5"/>
      <c r="I39" s="5"/>
      <c r="J39" s="12" t="s">
        <v>47</v>
      </c>
      <c r="K39" s="8" t="s">
        <v>62</v>
      </c>
      <c r="L39" s="185">
        <f>7560+249.5+14608</f>
        <v>22417.5</v>
      </c>
      <c r="M39" s="188"/>
      <c r="N39" s="184" t="s">
        <v>317</v>
      </c>
      <c r="O39" s="184"/>
      <c r="P39" s="184"/>
    </row>
    <row r="40" spans="1:16" ht="12.75">
      <c r="A40" s="19"/>
      <c r="B40" s="5"/>
      <c r="C40" s="5"/>
      <c r="D40" s="6">
        <v>1671342.02</v>
      </c>
      <c r="E40" s="5"/>
      <c r="F40" s="5"/>
      <c r="G40" s="6"/>
      <c r="H40" s="5"/>
      <c r="I40" s="5"/>
      <c r="J40" s="5"/>
      <c r="K40" s="7" t="s">
        <v>318</v>
      </c>
      <c r="L40" s="183">
        <v>440062.89</v>
      </c>
      <c r="M40" s="184"/>
      <c r="N40" s="184">
        <v>75</v>
      </c>
      <c r="O40" s="184"/>
      <c r="P40" s="184"/>
    </row>
    <row r="41" spans="1:16" ht="12.75">
      <c r="A41" s="19"/>
      <c r="B41" s="5"/>
      <c r="C41" s="5" t="s">
        <v>66</v>
      </c>
      <c r="D41" s="6"/>
      <c r="E41" s="5"/>
      <c r="F41" s="5"/>
      <c r="G41" s="6"/>
      <c r="H41" s="5"/>
      <c r="I41" s="5"/>
      <c r="J41" s="5"/>
      <c r="K41" s="10" t="s">
        <v>54</v>
      </c>
      <c r="L41" s="189">
        <f>SUM(L29:L40)</f>
        <v>88719394.74999999</v>
      </c>
      <c r="M41" s="188"/>
      <c r="N41" s="184"/>
      <c r="O41" s="184"/>
      <c r="P41" s="184"/>
    </row>
    <row r="42" spans="1:16" ht="12.75">
      <c r="A42" s="19"/>
      <c r="B42" s="5"/>
      <c r="C42" s="5"/>
      <c r="D42" s="6"/>
      <c r="E42" s="5"/>
      <c r="F42" s="5"/>
      <c r="G42" s="6"/>
      <c r="H42" s="41"/>
      <c r="I42" s="41"/>
      <c r="J42" s="5"/>
      <c r="K42" s="8"/>
      <c r="L42" s="185"/>
      <c r="M42" s="188"/>
      <c r="N42" s="184"/>
      <c r="O42" s="184"/>
      <c r="P42" s="184"/>
    </row>
    <row r="43" spans="1:16" ht="12.75">
      <c r="A43" s="19"/>
      <c r="B43" s="5"/>
      <c r="C43" s="5"/>
      <c r="D43" s="6"/>
      <c r="E43" s="5"/>
      <c r="F43" s="5"/>
      <c r="G43" s="6"/>
      <c r="H43" s="41"/>
      <c r="I43" s="41"/>
      <c r="J43" s="5"/>
      <c r="K43" s="8"/>
      <c r="L43" s="185"/>
      <c r="M43" s="188"/>
      <c r="N43" s="184"/>
      <c r="O43" s="184"/>
      <c r="P43" s="184"/>
    </row>
    <row r="44" spans="1:16" ht="12.75">
      <c r="A44" s="19"/>
      <c r="B44" s="5"/>
      <c r="C44" s="5"/>
      <c r="D44" s="6"/>
      <c r="E44" s="5"/>
      <c r="F44" s="5"/>
      <c r="G44" s="6"/>
      <c r="H44" s="41"/>
      <c r="I44" s="41"/>
      <c r="J44" s="5"/>
      <c r="K44" s="8" t="s">
        <v>55</v>
      </c>
      <c r="L44" s="185">
        <f>L41+L27</f>
        <v>157030911.77999997</v>
      </c>
      <c r="M44" s="188"/>
      <c r="N44" s="184"/>
      <c r="O44" s="184"/>
      <c r="P44" s="184"/>
    </row>
    <row r="45" spans="1:16" ht="12.75">
      <c r="A45" s="19"/>
      <c r="B45" s="5"/>
      <c r="C45" s="5"/>
      <c r="D45" s="6"/>
      <c r="E45" s="5"/>
      <c r="F45" s="5"/>
      <c r="G45" s="6"/>
      <c r="H45" s="41"/>
      <c r="I45" s="41"/>
      <c r="J45" s="5"/>
      <c r="K45" s="8"/>
      <c r="L45" s="185"/>
      <c r="M45" s="188"/>
      <c r="N45" s="184"/>
      <c r="O45" s="184">
        <f>1100+67252976.25+87004677.4+1183846.32+529771.03</f>
        <v>155972371</v>
      </c>
      <c r="P45" s="184"/>
    </row>
    <row r="46" spans="1:16" ht="12.75">
      <c r="A46" s="19"/>
      <c r="B46" s="5"/>
      <c r="C46" s="5"/>
      <c r="D46" s="6"/>
      <c r="E46" s="5"/>
      <c r="F46" s="5"/>
      <c r="G46" s="6">
        <f>43070617.95+H32</f>
        <v>76320341.17999998</v>
      </c>
      <c r="H46" s="41"/>
      <c r="I46" s="41"/>
      <c r="J46" s="5"/>
      <c r="K46" s="8"/>
      <c r="L46" s="185"/>
      <c r="M46" s="188"/>
      <c r="N46" s="184"/>
      <c r="O46" s="184"/>
      <c r="P46" s="184"/>
    </row>
    <row r="47" spans="1:16" ht="12.75">
      <c r="A47" s="19"/>
      <c r="B47" s="5"/>
      <c r="C47" s="5"/>
      <c r="D47" s="6"/>
      <c r="E47" s="5"/>
      <c r="F47" s="5"/>
      <c r="G47" s="6"/>
      <c r="H47" s="41"/>
      <c r="I47" s="41"/>
      <c r="J47" s="5"/>
      <c r="K47" s="8"/>
      <c r="L47" s="185"/>
      <c r="M47" s="188"/>
      <c r="N47" s="184"/>
      <c r="O47" s="184"/>
      <c r="P47" s="184"/>
    </row>
    <row r="48" spans="1:16" ht="12.75">
      <c r="A48" s="19"/>
      <c r="B48" s="5"/>
      <c r="C48" s="5"/>
      <c r="D48" s="6"/>
      <c r="E48" s="5"/>
      <c r="F48" s="5"/>
      <c r="G48" s="6"/>
      <c r="H48" s="41"/>
      <c r="I48" s="41"/>
      <c r="J48" s="5"/>
      <c r="K48" s="174">
        <f>41619136.05-M32</f>
        <v>41619136.05</v>
      </c>
      <c r="L48" s="185"/>
      <c r="M48" s="188"/>
      <c r="N48" s="184"/>
      <c r="O48" s="184"/>
      <c r="P48" s="184"/>
    </row>
    <row r="49" spans="1:16" ht="12.75">
      <c r="A49" s="19"/>
      <c r="B49" s="5"/>
      <c r="C49" s="5"/>
      <c r="D49" s="5"/>
      <c r="E49" s="5"/>
      <c r="F49" s="5"/>
      <c r="G49" s="6"/>
      <c r="H49" s="41"/>
      <c r="I49" s="41"/>
      <c r="J49" s="5"/>
      <c r="K49" s="8">
        <v>41619136.05</v>
      </c>
      <c r="L49" s="185"/>
      <c r="M49" s="188"/>
      <c r="N49" s="184"/>
      <c r="O49" s="184"/>
      <c r="P49" s="184"/>
    </row>
    <row r="50" spans="1:16" ht="12.75">
      <c r="A50" s="42"/>
      <c r="B50" s="43"/>
      <c r="C50" s="43"/>
      <c r="D50" s="43"/>
      <c r="E50" s="43"/>
      <c r="F50" s="43"/>
      <c r="G50" s="44"/>
      <c r="H50" s="45"/>
      <c r="I50" s="45"/>
      <c r="J50" s="5"/>
      <c r="K50" s="8"/>
      <c r="L50" s="185"/>
      <c r="M50" s="188"/>
      <c r="N50" s="184"/>
      <c r="O50" s="184"/>
      <c r="P50" s="184"/>
    </row>
    <row r="51" spans="8:16" ht="12.75">
      <c r="H51" s="3"/>
      <c r="I51" s="3"/>
      <c r="L51" s="183"/>
      <c r="M51" s="188"/>
      <c r="N51" s="184"/>
      <c r="O51" s="184"/>
      <c r="P51" s="184"/>
    </row>
    <row r="52" spans="8:16" ht="12.75">
      <c r="H52" s="3"/>
      <c r="I52" s="3"/>
      <c r="L52" s="183"/>
      <c r="M52" s="188"/>
      <c r="N52" s="184"/>
      <c r="O52" s="184"/>
      <c r="P52" s="184"/>
    </row>
    <row r="53" spans="8:16" ht="12.75">
      <c r="H53" s="3"/>
      <c r="I53" s="3"/>
      <c r="L53" s="183"/>
      <c r="M53" s="188"/>
      <c r="N53" s="184"/>
      <c r="O53" s="184"/>
      <c r="P53" s="184"/>
    </row>
    <row r="54" spans="8:16" ht="12.75">
      <c r="H54" s="3"/>
      <c r="I54" s="3"/>
      <c r="L54" s="183"/>
      <c r="M54" s="188"/>
      <c r="N54" s="184"/>
      <c r="O54" s="184"/>
      <c r="P54" s="184"/>
    </row>
    <row r="55" spans="8:16" ht="12.75">
      <c r="H55" s="3"/>
      <c r="I55" s="3"/>
      <c r="L55" s="183"/>
      <c r="M55" s="188"/>
      <c r="N55" s="184"/>
      <c r="O55" s="184"/>
      <c r="P55" s="184"/>
    </row>
    <row r="56" spans="8:16" ht="12.75">
      <c r="H56" s="3"/>
      <c r="I56" s="3"/>
      <c r="L56" s="183"/>
      <c r="M56" s="188"/>
      <c r="N56" s="184"/>
      <c r="O56" s="184"/>
      <c r="P56" s="184"/>
    </row>
    <row r="57" spans="8:16" ht="12.75">
      <c r="H57" s="3">
        <f>1911617.04+4085.99+1246163.18+57656.53+19236911.48+4205820.26+29310326.84+912155.54+88107.52</f>
        <v>56972844.379999995</v>
      </c>
      <c r="I57" s="3"/>
      <c r="L57" s="183"/>
      <c r="M57" s="188"/>
      <c r="N57" s="184"/>
      <c r="O57" s="184"/>
      <c r="P57" s="184"/>
    </row>
    <row r="58" spans="8:16" ht="12.75">
      <c r="H58" s="3"/>
      <c r="I58" s="3"/>
      <c r="L58" s="183"/>
      <c r="M58" s="188"/>
      <c r="N58" s="184"/>
      <c r="O58" s="184"/>
      <c r="P58" s="184"/>
    </row>
    <row r="59" spans="8:16" ht="12.75">
      <c r="H59" s="3"/>
      <c r="I59" s="3"/>
      <c r="L59" s="183"/>
      <c r="M59" s="188"/>
      <c r="N59" s="184"/>
      <c r="O59" s="184"/>
      <c r="P59" s="184"/>
    </row>
    <row r="60" spans="8:16" ht="12.75">
      <c r="H60" s="3"/>
      <c r="I60" s="3"/>
      <c r="L60" s="183"/>
      <c r="M60" s="188"/>
      <c r="N60" s="184"/>
      <c r="O60" s="184"/>
      <c r="P60" s="184"/>
    </row>
    <row r="61" spans="8:16" ht="12.75">
      <c r="H61" s="3"/>
      <c r="I61" s="3"/>
      <c r="L61" s="183"/>
      <c r="M61" s="188"/>
      <c r="N61" s="184"/>
      <c r="O61" s="184"/>
      <c r="P61" s="184"/>
    </row>
    <row r="62" spans="8:16" ht="12.75">
      <c r="H62" s="3"/>
      <c r="I62" s="3"/>
      <c r="L62" s="183"/>
      <c r="M62" s="184"/>
      <c r="N62" s="184"/>
      <c r="O62" s="184"/>
      <c r="P62" s="184"/>
    </row>
    <row r="63" spans="8:16" ht="12.75">
      <c r="H63" s="3"/>
      <c r="I63" s="3"/>
      <c r="L63" s="183"/>
      <c r="M63" s="184"/>
      <c r="N63" s="184"/>
      <c r="O63" s="184"/>
      <c r="P63" s="184"/>
    </row>
    <row r="64" spans="8:16" ht="12.75">
      <c r="H64" s="3"/>
      <c r="I64" s="3"/>
      <c r="L64" s="183"/>
      <c r="M64" s="184"/>
      <c r="N64" s="184"/>
      <c r="O64" s="184"/>
      <c r="P64" s="184"/>
    </row>
    <row r="65" spans="8:16" ht="12.75">
      <c r="H65" s="3"/>
      <c r="I65" s="3"/>
      <c r="L65" s="183"/>
      <c r="M65" s="184"/>
      <c r="N65" s="184"/>
      <c r="O65" s="184"/>
      <c r="P65" s="184"/>
    </row>
    <row r="66" spans="8:16" ht="12.75">
      <c r="H66" s="3"/>
      <c r="I66" s="3"/>
      <c r="L66" s="183"/>
      <c r="M66" s="184"/>
      <c r="N66" s="184"/>
      <c r="O66" s="184"/>
      <c r="P66" s="184"/>
    </row>
    <row r="67" spans="8:16" ht="12.75">
      <c r="H67" s="3"/>
      <c r="I67" s="3"/>
      <c r="L67" s="183"/>
      <c r="M67" s="184"/>
      <c r="N67" s="184"/>
      <c r="O67" s="184"/>
      <c r="P67" s="184"/>
    </row>
    <row r="68" spans="8:16" ht="12.75">
      <c r="H68" s="3"/>
      <c r="I68" s="3"/>
      <c r="L68" s="183"/>
      <c r="M68" s="184"/>
      <c r="N68" s="184"/>
      <c r="O68" s="184"/>
      <c r="P68" s="184"/>
    </row>
    <row r="69" spans="8:16" ht="12.75">
      <c r="H69" s="3"/>
      <c r="I69" s="3"/>
      <c r="L69" s="183"/>
      <c r="M69" s="184"/>
      <c r="N69" s="184"/>
      <c r="O69" s="184"/>
      <c r="P69" s="184"/>
    </row>
    <row r="70" spans="8:16" ht="12.75">
      <c r="H70" s="3"/>
      <c r="I70" s="3"/>
      <c r="L70" s="183"/>
      <c r="M70" s="184"/>
      <c r="N70" s="184"/>
      <c r="O70" s="184"/>
      <c r="P70" s="184"/>
    </row>
    <row r="71" spans="8:16" ht="12.75">
      <c r="H71" s="3"/>
      <c r="I71" s="3"/>
      <c r="L71" s="183"/>
      <c r="M71" s="184"/>
      <c r="N71" s="184"/>
      <c r="O71" s="184"/>
      <c r="P71" s="184"/>
    </row>
    <row r="72" spans="8:16" ht="12.75">
      <c r="H72" s="3"/>
      <c r="I72" s="3"/>
      <c r="L72" s="183"/>
      <c r="M72" s="184"/>
      <c r="N72" s="184"/>
      <c r="O72" s="184"/>
      <c r="P72" s="184"/>
    </row>
    <row r="73" spans="8:16" ht="12.75">
      <c r="H73" s="3"/>
      <c r="I73" s="3"/>
      <c r="L73" s="183"/>
      <c r="M73" s="184"/>
      <c r="N73" s="184"/>
      <c r="O73" s="184"/>
      <c r="P73" s="184"/>
    </row>
    <row r="74" spans="8:16" ht="12.75">
      <c r="H74" s="3"/>
      <c r="I74" s="3"/>
      <c r="L74" s="183"/>
      <c r="M74" s="184"/>
      <c r="N74" s="184"/>
      <c r="O74" s="184"/>
      <c r="P74" s="184"/>
    </row>
    <row r="75" spans="8:16" ht="12.75">
      <c r="H75" s="3"/>
      <c r="I75" s="3"/>
      <c r="L75" s="183"/>
      <c r="M75" s="184"/>
      <c r="N75" s="184"/>
      <c r="O75" s="184"/>
      <c r="P75" s="184"/>
    </row>
    <row r="76" spans="8:16" ht="12.75">
      <c r="H76" s="3"/>
      <c r="I76" s="3"/>
      <c r="L76" s="183"/>
      <c r="M76" s="184"/>
      <c r="N76" s="184"/>
      <c r="O76" s="184"/>
      <c r="P76" s="184"/>
    </row>
    <row r="77" spans="8:16" ht="12.75">
      <c r="H77" s="3"/>
      <c r="I77" s="3"/>
      <c r="L77" s="183"/>
      <c r="M77" s="184"/>
      <c r="N77" s="184"/>
      <c r="O77" s="184"/>
      <c r="P77" s="184"/>
    </row>
    <row r="78" spans="8:16" ht="12.75">
      <c r="H78" s="3"/>
      <c r="I78" s="3"/>
      <c r="L78" s="183"/>
      <c r="M78" s="184"/>
      <c r="N78" s="184"/>
      <c r="O78" s="184"/>
      <c r="P78" s="184"/>
    </row>
    <row r="79" spans="8:16" ht="12.75">
      <c r="H79" s="3"/>
      <c r="I79" s="3"/>
      <c r="L79" s="183"/>
      <c r="M79" s="184"/>
      <c r="N79" s="184"/>
      <c r="O79" s="184"/>
      <c r="P79" s="184"/>
    </row>
    <row r="80" spans="8:16" ht="12.75">
      <c r="H80" s="3"/>
      <c r="I80" s="3"/>
      <c r="L80" s="183"/>
      <c r="M80" s="184"/>
      <c r="N80" s="184"/>
      <c r="O80" s="184"/>
      <c r="P80" s="184"/>
    </row>
    <row r="81" spans="8:16" ht="12.75">
      <c r="H81" s="3"/>
      <c r="I81" s="3"/>
      <c r="L81" s="183"/>
      <c r="M81" s="184"/>
      <c r="N81" s="184"/>
      <c r="O81" s="184"/>
      <c r="P81" s="184"/>
    </row>
    <row r="82" spans="8:16" ht="12.75">
      <c r="H82" s="3"/>
      <c r="I82" s="3"/>
      <c r="L82" s="183"/>
      <c r="M82" s="184"/>
      <c r="N82" s="184"/>
      <c r="O82" s="184"/>
      <c r="P82" s="184"/>
    </row>
    <row r="83" spans="8:16" ht="12.75">
      <c r="H83" s="3"/>
      <c r="I83" s="3"/>
      <c r="L83" s="183"/>
      <c r="M83" s="184"/>
      <c r="N83" s="184"/>
      <c r="O83" s="184"/>
      <c r="P83" s="184"/>
    </row>
    <row r="84" spans="8:16" ht="12.75">
      <c r="H84" s="3"/>
      <c r="I84" s="3"/>
      <c r="L84" s="183"/>
      <c r="M84" s="184"/>
      <c r="N84" s="184"/>
      <c r="O84" s="184"/>
      <c r="P84" s="184"/>
    </row>
    <row r="85" spans="8:16" ht="12.75">
      <c r="H85" s="3"/>
      <c r="I85" s="3"/>
      <c r="L85" s="183"/>
      <c r="M85" s="184"/>
      <c r="N85" s="184"/>
      <c r="O85" s="184"/>
      <c r="P85" s="184"/>
    </row>
    <row r="86" spans="8:16" ht="12.75">
      <c r="H86" s="3"/>
      <c r="I86" s="3"/>
      <c r="L86" s="183"/>
      <c r="M86" s="184"/>
      <c r="N86" s="184"/>
      <c r="O86" s="184"/>
      <c r="P86" s="184"/>
    </row>
    <row r="87" spans="8:16" ht="12.75">
      <c r="H87" s="3"/>
      <c r="I87" s="3"/>
      <c r="L87" s="183"/>
      <c r="M87" s="184"/>
      <c r="N87" s="184"/>
      <c r="O87" s="184"/>
      <c r="P87" s="184"/>
    </row>
    <row r="88" spans="8:16" ht="12.75">
      <c r="H88" s="3"/>
      <c r="I88" s="3"/>
      <c r="L88" s="183"/>
      <c r="M88" s="184"/>
      <c r="N88" s="184"/>
      <c r="O88" s="184"/>
      <c r="P88" s="184"/>
    </row>
    <row r="89" spans="8:16" ht="12.75">
      <c r="H89" s="3"/>
      <c r="I89" s="3"/>
      <c r="L89" s="183"/>
      <c r="M89" s="184"/>
      <c r="N89" s="184"/>
      <c r="O89" s="184"/>
      <c r="P89" s="184"/>
    </row>
    <row r="90" spans="8:16" ht="12.75">
      <c r="H90" s="3"/>
      <c r="I90" s="3"/>
      <c r="L90" s="183"/>
      <c r="M90" s="184"/>
      <c r="N90" s="184"/>
      <c r="O90" s="184"/>
      <c r="P90" s="184"/>
    </row>
    <row r="91" spans="8:16" ht="12.75">
      <c r="H91" s="3"/>
      <c r="I91" s="3"/>
      <c r="L91" s="183"/>
      <c r="M91" s="184"/>
      <c r="N91" s="184"/>
      <c r="O91" s="184"/>
      <c r="P91" s="184"/>
    </row>
    <row r="92" spans="8:16" ht="12.75">
      <c r="H92" s="3"/>
      <c r="I92" s="3"/>
      <c r="L92" s="183"/>
      <c r="M92" s="184"/>
      <c r="N92" s="184"/>
      <c r="O92" s="184"/>
      <c r="P92" s="184"/>
    </row>
    <row r="93" spans="8:16" ht="12.75">
      <c r="H93" s="3"/>
      <c r="I93" s="3"/>
      <c r="L93" s="183"/>
      <c r="M93" s="184"/>
      <c r="N93" s="184"/>
      <c r="O93" s="184"/>
      <c r="P93" s="184"/>
    </row>
    <row r="94" spans="8:16" ht="12.75">
      <c r="H94" s="3"/>
      <c r="I94" s="3"/>
      <c r="L94" s="183"/>
      <c r="M94" s="184"/>
      <c r="N94" s="184"/>
      <c r="O94" s="184"/>
      <c r="P94" s="184"/>
    </row>
    <row r="95" spans="8:16" ht="12.75">
      <c r="H95" s="3"/>
      <c r="I95" s="3"/>
      <c r="L95" s="183"/>
      <c r="M95" s="184"/>
      <c r="N95" s="184"/>
      <c r="O95" s="184"/>
      <c r="P95" s="184"/>
    </row>
    <row r="96" spans="8:9" ht="12.75">
      <c r="H96" s="3"/>
      <c r="I96" s="3"/>
    </row>
    <row r="97" spans="8:9" ht="12.75">
      <c r="H97" s="3"/>
      <c r="I97" s="3"/>
    </row>
    <row r="98" spans="8:9" ht="12.75">
      <c r="H98" s="3"/>
      <c r="I98" s="3"/>
    </row>
    <row r="99" spans="8:9" ht="12.75">
      <c r="H99" s="3"/>
      <c r="I99" s="3"/>
    </row>
    <row r="100" spans="8:9" ht="12.75">
      <c r="H100" s="3"/>
      <c r="I100" s="3"/>
    </row>
    <row r="101" spans="8:9" ht="12.75">
      <c r="H101" s="3"/>
      <c r="I101" s="3"/>
    </row>
    <row r="102" spans="8:9" ht="12.75">
      <c r="H102" s="3"/>
      <c r="I102" s="3"/>
    </row>
    <row r="103" spans="8:9" ht="12.75">
      <c r="H103" s="3"/>
      <c r="I103" s="3"/>
    </row>
    <row r="104" spans="8:9" ht="12.75">
      <c r="H104" s="3"/>
      <c r="I104" s="3"/>
    </row>
    <row r="105" spans="8:9" ht="12.75">
      <c r="H105" s="3"/>
      <c r="I105" s="3"/>
    </row>
    <row r="106" spans="8:9" ht="12.75">
      <c r="H106" s="3"/>
      <c r="I106" s="3"/>
    </row>
    <row r="107" spans="8:9" ht="12.75">
      <c r="H107" s="3"/>
      <c r="I107" s="3"/>
    </row>
    <row r="108" spans="8:9" ht="12.75">
      <c r="H108" s="3"/>
      <c r="I108" s="3"/>
    </row>
    <row r="109" spans="8:9" ht="12.75">
      <c r="H109" s="3"/>
      <c r="I109" s="3"/>
    </row>
    <row r="110" spans="8:9" ht="12.75">
      <c r="H110" s="3"/>
      <c r="I110" s="3"/>
    </row>
    <row r="111" spans="8:9" ht="12.75">
      <c r="H111" s="3"/>
      <c r="I111" s="3"/>
    </row>
    <row r="112" spans="8:9" ht="12.75">
      <c r="H112" s="3"/>
      <c r="I112" s="3"/>
    </row>
    <row r="113" spans="8:9" ht="12.75">
      <c r="H113" s="3"/>
      <c r="I113" s="3"/>
    </row>
    <row r="114" spans="8:9" ht="12.75">
      <c r="H114" s="3"/>
      <c r="I114" s="3"/>
    </row>
    <row r="115" spans="8:9" ht="12.75">
      <c r="H115" s="3"/>
      <c r="I115" s="3"/>
    </row>
    <row r="116" spans="8:9" ht="12.75">
      <c r="H116" s="3"/>
      <c r="I116" s="3"/>
    </row>
    <row r="117" spans="8:9" ht="12.75">
      <c r="H117" s="3"/>
      <c r="I117" s="3"/>
    </row>
    <row r="118" spans="8:9" ht="12.75">
      <c r="H118" s="3"/>
      <c r="I118" s="3"/>
    </row>
    <row r="119" spans="8:9" ht="12.75">
      <c r="H119" s="3"/>
      <c r="I119" s="3"/>
    </row>
    <row r="120" spans="8:9" ht="12.75">
      <c r="H120" s="3"/>
      <c r="I120" s="3"/>
    </row>
    <row r="121" spans="8:9" ht="12.75">
      <c r="H121" s="3"/>
      <c r="I121" s="3"/>
    </row>
    <row r="122" spans="8:9" ht="12.75">
      <c r="H122" s="3"/>
      <c r="I122" s="3"/>
    </row>
    <row r="123" spans="8:9" ht="12.75">
      <c r="H123" s="3"/>
      <c r="I123" s="3"/>
    </row>
    <row r="124" spans="8:9" ht="12.75">
      <c r="H124" s="3"/>
      <c r="I124" s="3"/>
    </row>
    <row r="125" spans="8:9" ht="12.75">
      <c r="H125" s="3"/>
      <c r="I125" s="3"/>
    </row>
    <row r="126" spans="8:9" ht="12.75">
      <c r="H126" s="3"/>
      <c r="I126" s="3"/>
    </row>
    <row r="127" spans="8:9" ht="12.75">
      <c r="H127" s="3"/>
      <c r="I127" s="3"/>
    </row>
    <row r="128" spans="8:9" ht="12.75">
      <c r="H128" s="3"/>
      <c r="I128" s="3"/>
    </row>
    <row r="129" spans="8:9" ht="12.75">
      <c r="H129" s="3"/>
      <c r="I129" s="3"/>
    </row>
    <row r="130" spans="8:9" ht="12.75">
      <c r="H130" s="3"/>
      <c r="I130" s="3"/>
    </row>
    <row r="131" spans="8:9" ht="12.75">
      <c r="H131" s="3"/>
      <c r="I131" s="3"/>
    </row>
    <row r="132" spans="8:9" ht="12.75">
      <c r="H132" s="3"/>
      <c r="I132" s="3"/>
    </row>
    <row r="133" spans="8:9" ht="12.75">
      <c r="H133" s="3"/>
      <c r="I133" s="3"/>
    </row>
    <row r="134" spans="8:9" ht="12.75">
      <c r="H134" s="3"/>
      <c r="I134" s="3"/>
    </row>
    <row r="135" spans="8:9" ht="12.75">
      <c r="H135" s="3"/>
      <c r="I135" s="3"/>
    </row>
    <row r="136" spans="8:9" ht="12.75">
      <c r="H136" s="3"/>
      <c r="I136" s="3"/>
    </row>
    <row r="137" spans="8:9" ht="12.75">
      <c r="H137" s="3"/>
      <c r="I137" s="3"/>
    </row>
    <row r="138" spans="8:9" ht="12.75">
      <c r="H138" s="3"/>
      <c r="I138" s="3"/>
    </row>
    <row r="139" spans="8:9" ht="12.75">
      <c r="H139" s="3"/>
      <c r="I139" s="3"/>
    </row>
    <row r="140" spans="8:9" ht="12.75">
      <c r="H140" s="3"/>
      <c r="I140" s="3"/>
    </row>
    <row r="141" spans="8:9" ht="12.75">
      <c r="H141" s="3"/>
      <c r="I141" s="3"/>
    </row>
    <row r="142" spans="8:9" ht="12.75">
      <c r="H142" s="3"/>
      <c r="I142" s="3"/>
    </row>
    <row r="143" spans="8:9" ht="12.75">
      <c r="H143" s="3"/>
      <c r="I143" s="3"/>
    </row>
    <row r="144" spans="8:9" ht="12.75">
      <c r="H144" s="3"/>
      <c r="I144" s="3"/>
    </row>
    <row r="145" spans="8:9" ht="12.75">
      <c r="H145" s="3"/>
      <c r="I145" s="3"/>
    </row>
    <row r="146" spans="8:9" ht="12.75">
      <c r="H146" s="3"/>
      <c r="I146" s="3"/>
    </row>
    <row r="147" spans="8:9" ht="12.75">
      <c r="H147" s="3"/>
      <c r="I147" s="3"/>
    </row>
    <row r="148" spans="8:9" ht="12.75">
      <c r="H148" s="3"/>
      <c r="I148" s="3"/>
    </row>
    <row r="149" spans="8:9" ht="12.75">
      <c r="H149" s="3"/>
      <c r="I149" s="3"/>
    </row>
    <row r="150" spans="8:9" ht="12.75">
      <c r="H150" s="3"/>
      <c r="I150" s="3"/>
    </row>
    <row r="151" spans="8:9" ht="12.75">
      <c r="H151" s="3"/>
      <c r="I151" s="3"/>
    </row>
    <row r="152" spans="8:9" ht="12.75">
      <c r="H152" s="3"/>
      <c r="I152" s="3"/>
    </row>
    <row r="153" spans="8:9" ht="12.75">
      <c r="H153" s="3"/>
      <c r="I153" s="3"/>
    </row>
    <row r="154" spans="8:9" ht="12.75">
      <c r="H154" s="3"/>
      <c r="I154" s="3"/>
    </row>
    <row r="155" spans="8:9" ht="12.75">
      <c r="H155" s="3"/>
      <c r="I155" s="3"/>
    </row>
    <row r="156" spans="8:9" ht="12.75">
      <c r="H156" s="3"/>
      <c r="I156" s="3"/>
    </row>
    <row r="157" spans="8:9" ht="12.75">
      <c r="H157" s="3"/>
      <c r="I157" s="3"/>
    </row>
    <row r="158" spans="8:9" ht="12.75">
      <c r="H158" s="3"/>
      <c r="I158" s="3"/>
    </row>
    <row r="159" spans="8:9" ht="12.75">
      <c r="H159" s="3"/>
      <c r="I159" s="3"/>
    </row>
    <row r="160" spans="8:9" ht="12.75">
      <c r="H160" s="3"/>
      <c r="I160" s="3"/>
    </row>
    <row r="161" spans="8:9" ht="12.75">
      <c r="H161" s="3"/>
      <c r="I161" s="3"/>
    </row>
    <row r="162" spans="8:9" ht="12.75">
      <c r="H162" s="3"/>
      <c r="I162" s="3"/>
    </row>
    <row r="163" spans="8:9" ht="12.75">
      <c r="H163" s="3"/>
      <c r="I163" s="3"/>
    </row>
    <row r="164" spans="8:9" ht="12.75">
      <c r="H164" s="3"/>
      <c r="I164" s="3"/>
    </row>
    <row r="165" spans="8:9" ht="12.75">
      <c r="H165" s="3"/>
      <c r="I165" s="3"/>
    </row>
    <row r="166" spans="8:9" ht="12.75">
      <c r="H166" s="3"/>
      <c r="I166" s="3"/>
    </row>
    <row r="167" spans="8:9" ht="12.75">
      <c r="H167" s="3"/>
      <c r="I167" s="3"/>
    </row>
    <row r="168" spans="8:9" ht="12.75">
      <c r="H168" s="3"/>
      <c r="I168" s="3"/>
    </row>
    <row r="169" spans="8:9" ht="12.75">
      <c r="H169" s="3"/>
      <c r="I169" s="3"/>
    </row>
    <row r="170" spans="8:9" ht="12.75">
      <c r="H170" s="3"/>
      <c r="I170" s="3"/>
    </row>
    <row r="171" spans="8:9" ht="12.75">
      <c r="H171" s="3"/>
      <c r="I171" s="3"/>
    </row>
    <row r="172" spans="8:9" ht="12.75">
      <c r="H172" s="3"/>
      <c r="I172" s="3"/>
    </row>
    <row r="173" spans="8:9" ht="12.75">
      <c r="H173" s="3"/>
      <c r="I173" s="3"/>
    </row>
    <row r="174" spans="8:9" ht="12.75">
      <c r="H174" s="3"/>
      <c r="I174" s="3"/>
    </row>
    <row r="175" spans="8:9" ht="12.75">
      <c r="H175" s="3"/>
      <c r="I175" s="3"/>
    </row>
    <row r="176" spans="8:9" ht="12.75">
      <c r="H176" s="3"/>
      <c r="I176" s="3"/>
    </row>
    <row r="177" spans="8:9" ht="12.75">
      <c r="H177" s="3"/>
      <c r="I177" s="3"/>
    </row>
    <row r="178" spans="8:9" ht="12.75">
      <c r="H178" s="3"/>
      <c r="I178" s="3"/>
    </row>
    <row r="179" spans="8:9" ht="12.75">
      <c r="H179" s="3"/>
      <c r="I179" s="3"/>
    </row>
    <row r="180" spans="8:9" ht="12.75">
      <c r="H180" s="3"/>
      <c r="I180" s="3"/>
    </row>
    <row r="181" spans="8:9" ht="12.75">
      <c r="H181" s="3"/>
      <c r="I181" s="3"/>
    </row>
    <row r="182" spans="8:9" ht="12.75">
      <c r="H182" s="3"/>
      <c r="I182" s="3"/>
    </row>
    <row r="183" spans="8:9" ht="12.75">
      <c r="H183" s="3"/>
      <c r="I183" s="3"/>
    </row>
    <row r="184" spans="8:9" ht="12.75">
      <c r="H184" s="3"/>
      <c r="I184" s="3"/>
    </row>
    <row r="185" spans="8:9" ht="12.75">
      <c r="H185" s="3"/>
      <c r="I185" s="3"/>
    </row>
    <row r="186" spans="8:9" ht="12.75">
      <c r="H186" s="3"/>
      <c r="I186" s="3"/>
    </row>
    <row r="187" spans="8:9" ht="12.75">
      <c r="H187" s="3"/>
      <c r="I187" s="3"/>
    </row>
    <row r="188" spans="8:9" ht="12.75">
      <c r="H188" s="3"/>
      <c r="I188" s="3"/>
    </row>
    <row r="189" spans="8:9" ht="12.75">
      <c r="H189" s="3"/>
      <c r="I189" s="3"/>
    </row>
    <row r="190" spans="8:9" ht="12.75">
      <c r="H190" s="3"/>
      <c r="I190" s="3"/>
    </row>
    <row r="191" spans="8:9" ht="12.75">
      <c r="H191" s="3"/>
      <c r="I191" s="3"/>
    </row>
    <row r="192" spans="8:9" ht="12.75">
      <c r="H192" s="3"/>
      <c r="I192" s="3"/>
    </row>
    <row r="193" spans="8:9" ht="12.75">
      <c r="H193" s="3"/>
      <c r="I193" s="3"/>
    </row>
    <row r="194" spans="8:9" ht="12.75">
      <c r="H194" s="3"/>
      <c r="I194" s="3"/>
    </row>
    <row r="195" spans="8:9" ht="12.75">
      <c r="H195" s="3"/>
      <c r="I195" s="3"/>
    </row>
    <row r="196" spans="8:9" ht="12.75">
      <c r="H196" s="3"/>
      <c r="I196" s="3"/>
    </row>
    <row r="197" spans="8:9" ht="12.75">
      <c r="H197" s="3"/>
      <c r="I197" s="3"/>
    </row>
    <row r="198" spans="8:9" ht="12.75">
      <c r="H198" s="3"/>
      <c r="I198" s="3"/>
    </row>
    <row r="199" spans="8:9" ht="12.75">
      <c r="H199" s="3"/>
      <c r="I199" s="3"/>
    </row>
    <row r="200" spans="8:9" ht="12.75">
      <c r="H200" s="3"/>
      <c r="I200" s="3"/>
    </row>
    <row r="201" spans="8:9" ht="12.75">
      <c r="H201" s="3"/>
      <c r="I201" s="3"/>
    </row>
    <row r="202" spans="8:9" ht="12.75">
      <c r="H202" s="3"/>
      <c r="I202" s="3"/>
    </row>
    <row r="203" spans="8:9" ht="12.75">
      <c r="H203" s="3"/>
      <c r="I203" s="3"/>
    </row>
    <row r="204" spans="8:9" ht="12.75">
      <c r="H204" s="3"/>
      <c r="I204" s="3"/>
    </row>
    <row r="205" spans="8:9" ht="12.75">
      <c r="H205" s="3"/>
      <c r="I205" s="3"/>
    </row>
    <row r="206" spans="8:9" ht="12.75">
      <c r="H206" s="3"/>
      <c r="I206" s="3"/>
    </row>
    <row r="207" spans="8:9" ht="12.75">
      <c r="H207" s="3"/>
      <c r="I207" s="3"/>
    </row>
    <row r="208" spans="8:9" ht="12.75">
      <c r="H208" s="3"/>
      <c r="I208" s="3"/>
    </row>
    <row r="209" spans="8:9" ht="12.75">
      <c r="H209" s="3"/>
      <c r="I209" s="3"/>
    </row>
    <row r="210" spans="8:9" ht="12.75">
      <c r="H210" s="3"/>
      <c r="I210" s="3"/>
    </row>
    <row r="211" spans="8:9" ht="12.75">
      <c r="H211" s="3"/>
      <c r="I211" s="3"/>
    </row>
    <row r="212" spans="8:9" ht="12.75">
      <c r="H212" s="3"/>
      <c r="I212" s="3"/>
    </row>
    <row r="213" spans="8:9" ht="12.75">
      <c r="H213" s="3"/>
      <c r="I213" s="3"/>
    </row>
    <row r="214" spans="8:9" ht="12.75">
      <c r="H214" s="3"/>
      <c r="I214" s="3"/>
    </row>
  </sheetData>
  <sheetProtection/>
  <printOptions/>
  <pageMargins left="0.75" right="0.75" top="1" bottom="1" header="0.5" footer="0.5"/>
  <pageSetup fitToHeight="0" fitToWidth="1" horizontalDpi="288" verticalDpi="288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86"/>
  <sheetViews>
    <sheetView zoomScalePageLayoutView="0" workbookViewId="0" topLeftCell="A1">
      <pane ySplit="4" topLeftCell="BM71" activePane="bottomLeft" state="frozen"/>
      <selection pane="topLeft" activeCell="A1" sqref="A1"/>
      <selection pane="bottomLeft" activeCell="C54" sqref="C54"/>
    </sheetView>
  </sheetViews>
  <sheetFormatPr defaultColWidth="9.125" defaultRowHeight="12.75"/>
  <cols>
    <col min="1" max="1" width="15.00390625" style="47" customWidth="1"/>
    <col min="2" max="2" width="48.625" style="68" customWidth="1"/>
    <col min="3" max="3" width="14.50390625" style="69" customWidth="1"/>
    <col min="4" max="4" width="18.875" style="203" customWidth="1"/>
    <col min="5" max="5" width="11.625" style="203" bestFit="1" customWidth="1"/>
    <col min="6" max="6" width="16.50390625" style="46" customWidth="1"/>
    <col min="7" max="7" width="17.625" style="47" customWidth="1"/>
    <col min="8" max="8" width="12.625" style="47" bestFit="1" customWidth="1"/>
    <col min="9" max="16384" width="9.125" style="47" customWidth="1"/>
  </cols>
  <sheetData>
    <row r="3" spans="1:5" ht="15">
      <c r="A3" s="252" t="s">
        <v>68</v>
      </c>
      <c r="B3" s="252"/>
      <c r="C3" s="252"/>
      <c r="D3" s="252"/>
      <c r="E3" s="252"/>
    </row>
    <row r="4" spans="1:5" ht="26.25">
      <c r="A4" s="48" t="s">
        <v>69</v>
      </c>
      <c r="B4" s="48" t="s">
        <v>70</v>
      </c>
      <c r="C4" s="49" t="s">
        <v>295</v>
      </c>
      <c r="D4" s="194" t="s">
        <v>71</v>
      </c>
      <c r="E4" s="194" t="s">
        <v>72</v>
      </c>
    </row>
    <row r="5" spans="1:6" ht="25.5">
      <c r="A5" s="50" t="s">
        <v>73</v>
      </c>
      <c r="B5" s="51" t="s">
        <v>74</v>
      </c>
      <c r="C5" s="52">
        <f>45385541.35*7.35/100</f>
        <v>3335837.289225</v>
      </c>
      <c r="D5" s="195">
        <v>0</v>
      </c>
      <c r="E5" s="195">
        <f>C5</f>
        <v>3335837.289225</v>
      </c>
      <c r="F5" s="52"/>
    </row>
    <row r="6" spans="1:6" ht="25.5">
      <c r="A6" s="50" t="s">
        <v>75</v>
      </c>
      <c r="B6" s="51" t="s">
        <v>76</v>
      </c>
      <c r="C6" s="52">
        <f>45385541.35-C5</f>
        <v>42049704.060775004</v>
      </c>
      <c r="D6" s="195">
        <f>C6</f>
        <v>42049704.060775004</v>
      </c>
      <c r="E6" s="195">
        <f>C6-D6</f>
        <v>0</v>
      </c>
      <c r="F6" s="52"/>
    </row>
    <row r="7" spans="1:6" ht="12.75">
      <c r="A7" s="53" t="s">
        <v>77</v>
      </c>
      <c r="B7" s="54" t="s">
        <v>78</v>
      </c>
      <c r="C7" s="55">
        <f>53563.05</f>
        <v>53563.05</v>
      </c>
      <c r="D7" s="196">
        <f>C7*85/100</f>
        <v>45528.5925</v>
      </c>
      <c r="E7" s="196">
        <f>C7-D7</f>
        <v>8034.457500000004</v>
      </c>
      <c r="F7" s="56"/>
    </row>
    <row r="8" spans="1:6" ht="12.75">
      <c r="A8" s="53" t="s">
        <v>79</v>
      </c>
      <c r="B8" s="54" t="s">
        <v>80</v>
      </c>
      <c r="C8" s="55">
        <f>4392.48</f>
        <v>4392.48</v>
      </c>
      <c r="D8" s="196">
        <f>C8</f>
        <v>4392.48</v>
      </c>
      <c r="E8" s="196">
        <f aca="true" t="shared" si="0" ref="E8:E26">C8-D8</f>
        <v>0</v>
      </c>
      <c r="F8" s="56"/>
    </row>
    <row r="9" spans="1:6" ht="12.75">
      <c r="A9" s="53" t="s">
        <v>81</v>
      </c>
      <c r="B9" s="54" t="s">
        <v>82</v>
      </c>
      <c r="C9" s="55">
        <v>13568.7</v>
      </c>
      <c r="D9" s="196">
        <f aca="true" t="shared" si="1" ref="D9:D26">C9*85/100</f>
        <v>11533.395</v>
      </c>
      <c r="E9" s="196">
        <f t="shared" si="0"/>
        <v>2035.3050000000003</v>
      </c>
      <c r="F9" s="56"/>
    </row>
    <row r="10" spans="1:6" ht="12.75">
      <c r="A10" s="53" t="s">
        <v>83</v>
      </c>
      <c r="B10" s="54" t="s">
        <v>84</v>
      </c>
      <c r="C10" s="55">
        <v>23884.72</v>
      </c>
      <c r="D10" s="196">
        <f t="shared" si="1"/>
        <v>20302.012000000002</v>
      </c>
      <c r="E10" s="196">
        <f t="shared" si="0"/>
        <v>3582.7079999999987</v>
      </c>
      <c r="F10" s="56"/>
    </row>
    <row r="11" spans="1:6" ht="12.75">
      <c r="A11" s="53" t="s">
        <v>85</v>
      </c>
      <c r="B11" s="54" t="s">
        <v>86</v>
      </c>
      <c r="C11" s="55">
        <v>20256.15</v>
      </c>
      <c r="D11" s="196">
        <f t="shared" si="1"/>
        <v>17217.7275</v>
      </c>
      <c r="E11" s="196">
        <f t="shared" si="0"/>
        <v>3038.4225000000006</v>
      </c>
      <c r="F11" s="56"/>
    </row>
    <row r="12" spans="1:6" ht="12.75">
      <c r="A12" s="53" t="s">
        <v>87</v>
      </c>
      <c r="B12" s="54" t="s">
        <v>88</v>
      </c>
      <c r="C12" s="55">
        <f>91606.23</f>
        <v>91606.23</v>
      </c>
      <c r="D12" s="196">
        <f t="shared" si="1"/>
        <v>77865.2955</v>
      </c>
      <c r="E12" s="197">
        <f t="shared" si="0"/>
        <v>13740.934500000003</v>
      </c>
      <c r="F12" s="56"/>
    </row>
    <row r="13" spans="1:6" ht="12.75">
      <c r="A13" s="53" t="s">
        <v>89</v>
      </c>
      <c r="B13" s="54" t="s">
        <v>90</v>
      </c>
      <c r="C13" s="55">
        <f>105900.54</f>
        <v>105900.54</v>
      </c>
      <c r="D13" s="196">
        <f t="shared" si="1"/>
        <v>90015.459</v>
      </c>
      <c r="E13" s="196">
        <f t="shared" si="0"/>
        <v>15885.080999999991</v>
      </c>
      <c r="F13" s="56"/>
    </row>
    <row r="14" spans="1:6" ht="12.75">
      <c r="A14" s="53" t="s">
        <v>91</v>
      </c>
      <c r="B14" s="54" t="s">
        <v>92</v>
      </c>
      <c r="C14" s="55"/>
      <c r="D14" s="196">
        <v>0</v>
      </c>
      <c r="E14" s="196">
        <v>0</v>
      </c>
      <c r="F14" s="56"/>
    </row>
    <row r="15" spans="1:6" ht="12.75">
      <c r="A15" s="53" t="s">
        <v>93</v>
      </c>
      <c r="B15" s="54" t="s">
        <v>94</v>
      </c>
      <c r="C15" s="55">
        <v>43604.72</v>
      </c>
      <c r="D15" s="196">
        <v>0</v>
      </c>
      <c r="E15" s="196">
        <f>C15-D15</f>
        <v>43604.72</v>
      </c>
      <c r="F15" s="56"/>
    </row>
    <row r="16" spans="1:6" ht="25.5">
      <c r="A16" s="53" t="s">
        <v>95</v>
      </c>
      <c r="B16" s="54" t="s">
        <v>96</v>
      </c>
      <c r="C16" s="55">
        <v>11373.1</v>
      </c>
      <c r="D16" s="196">
        <f t="shared" si="1"/>
        <v>9667.135</v>
      </c>
      <c r="E16" s="196">
        <f t="shared" si="0"/>
        <v>1705.9650000000001</v>
      </c>
      <c r="F16" s="56"/>
    </row>
    <row r="17" spans="1:6" ht="25.5">
      <c r="A17" s="53" t="s">
        <v>97</v>
      </c>
      <c r="B17" s="54" t="s">
        <v>98</v>
      </c>
      <c r="C17" s="55">
        <f>69727.68</f>
        <v>69727.68</v>
      </c>
      <c r="D17" s="196">
        <f t="shared" si="1"/>
        <v>59268.528</v>
      </c>
      <c r="E17" s="196">
        <f t="shared" si="0"/>
        <v>10459.151999999995</v>
      </c>
      <c r="F17" s="56"/>
    </row>
    <row r="18" spans="1:6" ht="12.75">
      <c r="A18" s="53" t="s">
        <v>99</v>
      </c>
      <c r="B18" s="54" t="s">
        <v>100</v>
      </c>
      <c r="C18" s="55"/>
      <c r="D18" s="196">
        <f t="shared" si="1"/>
        <v>0</v>
      </c>
      <c r="E18" s="196">
        <f t="shared" si="0"/>
        <v>0</v>
      </c>
      <c r="F18" s="56"/>
    </row>
    <row r="19" spans="1:6" ht="12.75">
      <c r="A19" s="53" t="s">
        <v>101</v>
      </c>
      <c r="B19" s="54" t="s">
        <v>102</v>
      </c>
      <c r="C19" s="55">
        <f>615193.18</f>
        <v>615193.18</v>
      </c>
      <c r="D19" s="196">
        <f t="shared" si="1"/>
        <v>522914.20300000004</v>
      </c>
      <c r="E19" s="196">
        <f t="shared" si="0"/>
        <v>92278.97700000001</v>
      </c>
      <c r="F19" s="56"/>
    </row>
    <row r="20" spans="1:6" ht="25.5">
      <c r="A20" s="53" t="s">
        <v>103</v>
      </c>
      <c r="B20" s="54" t="s">
        <v>104</v>
      </c>
      <c r="C20" s="55">
        <f>99261.03</f>
        <v>99261.03</v>
      </c>
      <c r="D20" s="196">
        <f t="shared" si="1"/>
        <v>84371.87550000001</v>
      </c>
      <c r="E20" s="196">
        <f t="shared" si="0"/>
        <v>14889.15449999999</v>
      </c>
      <c r="F20" s="56"/>
    </row>
    <row r="21" spans="1:6" ht="25.5">
      <c r="A21" s="53" t="s">
        <v>105</v>
      </c>
      <c r="B21" s="54" t="s">
        <v>106</v>
      </c>
      <c r="C21" s="55">
        <f>174340.65</f>
        <v>174340.65</v>
      </c>
      <c r="D21" s="196">
        <f t="shared" si="1"/>
        <v>148189.5525</v>
      </c>
      <c r="E21" s="196">
        <f t="shared" si="0"/>
        <v>26151.097500000003</v>
      </c>
      <c r="F21" s="56"/>
    </row>
    <row r="22" spans="1:6" ht="12.75">
      <c r="A22" s="53" t="s">
        <v>107</v>
      </c>
      <c r="B22" s="54" t="s">
        <v>108</v>
      </c>
      <c r="C22" s="57">
        <f>75429.43</f>
        <v>75429.43</v>
      </c>
      <c r="D22" s="196">
        <f t="shared" si="1"/>
        <v>64115.0155</v>
      </c>
      <c r="E22" s="196">
        <f t="shared" si="0"/>
        <v>11314.414499999992</v>
      </c>
      <c r="F22" s="58"/>
    </row>
    <row r="23" spans="1:6" ht="12.75">
      <c r="A23" s="53" t="s">
        <v>109</v>
      </c>
      <c r="B23" s="54" t="s">
        <v>110</v>
      </c>
      <c r="C23" s="57"/>
      <c r="D23" s="196">
        <f t="shared" si="1"/>
        <v>0</v>
      </c>
      <c r="E23" s="196">
        <f t="shared" si="0"/>
        <v>0</v>
      </c>
      <c r="F23" s="58"/>
    </row>
    <row r="24" spans="1:6" ht="12.75">
      <c r="A24" s="53" t="s">
        <v>111</v>
      </c>
      <c r="B24" s="54" t="s">
        <v>112</v>
      </c>
      <c r="C24" s="55">
        <f>4522</f>
        <v>4522</v>
      </c>
      <c r="D24" s="196">
        <f t="shared" si="1"/>
        <v>3843.7</v>
      </c>
      <c r="E24" s="196">
        <f t="shared" si="0"/>
        <v>678.3000000000002</v>
      </c>
      <c r="F24" s="56"/>
    </row>
    <row r="25" spans="1:6" ht="12.75">
      <c r="A25" s="53" t="s">
        <v>113</v>
      </c>
      <c r="B25" s="54" t="s">
        <v>114</v>
      </c>
      <c r="C25" s="55">
        <f>2000</f>
        <v>2000</v>
      </c>
      <c r="D25" s="196">
        <f t="shared" si="1"/>
        <v>1700</v>
      </c>
      <c r="E25" s="196">
        <f t="shared" si="0"/>
        <v>300</v>
      </c>
      <c r="F25" s="56"/>
    </row>
    <row r="26" spans="1:6" ht="12.75">
      <c r="A26" s="53" t="s">
        <v>115</v>
      </c>
      <c r="B26" s="54" t="s">
        <v>116</v>
      </c>
      <c r="C26" s="55">
        <v>0</v>
      </c>
      <c r="D26" s="196">
        <f t="shared" si="1"/>
        <v>0</v>
      </c>
      <c r="E26" s="196">
        <f t="shared" si="0"/>
        <v>0</v>
      </c>
      <c r="F26" s="56"/>
    </row>
    <row r="27" spans="1:6" ht="12.75">
      <c r="A27" s="53" t="s">
        <v>117</v>
      </c>
      <c r="B27" s="54" t="s">
        <v>118</v>
      </c>
      <c r="C27" s="55">
        <f>25033.22</f>
        <v>25033.22</v>
      </c>
      <c r="D27" s="196">
        <f>C27</f>
        <v>25033.22</v>
      </c>
      <c r="E27" s="196">
        <v>0</v>
      </c>
      <c r="F27" s="56"/>
    </row>
    <row r="28" spans="1:6" ht="12.75">
      <c r="A28" s="53"/>
      <c r="B28" s="54"/>
      <c r="C28" s="55">
        <f>'ΓΕΝ.ΕΚΜΕΤΑΛ2010'!H22-46819198.23</f>
        <v>1818427.099999994</v>
      </c>
      <c r="D28" s="196">
        <f>C28*90/100</f>
        <v>1636584.3899999945</v>
      </c>
      <c r="E28" s="196">
        <f>C28-D28</f>
        <v>181842.7099999995</v>
      </c>
      <c r="F28" s="56"/>
    </row>
    <row r="29" spans="1:6" ht="12.75">
      <c r="A29" s="48">
        <v>60</v>
      </c>
      <c r="B29" s="59" t="s">
        <v>23</v>
      </c>
      <c r="C29" s="60">
        <f>SUM(C5:C28)</f>
        <v>48637625.32999998</v>
      </c>
      <c r="D29" s="198">
        <f>SUM(D5:D28)</f>
        <v>44872246.641775005</v>
      </c>
      <c r="E29" s="198">
        <f>SUM(E5:E28)</f>
        <v>3765378.6882249992</v>
      </c>
      <c r="F29" s="61"/>
    </row>
    <row r="30" spans="1:6" ht="12.75">
      <c r="A30" s="53" t="s">
        <v>119</v>
      </c>
      <c r="B30" s="54" t="s">
        <v>120</v>
      </c>
      <c r="C30" s="55">
        <f>1785</f>
        <v>1785</v>
      </c>
      <c r="D30" s="196">
        <f>C30*90/100</f>
        <v>1606.5</v>
      </c>
      <c r="E30" s="196">
        <f>C30-D30</f>
        <v>178.5</v>
      </c>
      <c r="F30" s="56"/>
    </row>
    <row r="31" spans="1:6" ht="25.5">
      <c r="A31" s="53" t="s">
        <v>121</v>
      </c>
      <c r="B31" s="54" t="s">
        <v>122</v>
      </c>
      <c r="C31" s="55">
        <f>1636489.61</f>
        <v>1636489.61</v>
      </c>
      <c r="D31" s="196">
        <f>C31*80/100</f>
        <v>1309191.688</v>
      </c>
      <c r="E31" s="196">
        <f>C31-D31</f>
        <v>327297.922</v>
      </c>
      <c r="F31" s="56"/>
    </row>
    <row r="32" spans="1:6" ht="12.75">
      <c r="A32" s="53" t="s">
        <v>123</v>
      </c>
      <c r="B32" s="54" t="s">
        <v>124</v>
      </c>
      <c r="C32" s="55"/>
      <c r="D32" s="196"/>
      <c r="E32" s="196"/>
      <c r="F32" s="56"/>
    </row>
    <row r="33" spans="1:6" ht="12.75">
      <c r="A33" s="53" t="s">
        <v>125</v>
      </c>
      <c r="B33" s="54" t="s">
        <v>126</v>
      </c>
      <c r="C33" s="55">
        <f>1252326.87</f>
        <v>1252326.87</v>
      </c>
      <c r="D33" s="196">
        <f>C33</f>
        <v>1252326.87</v>
      </c>
      <c r="E33" s="196">
        <v>0</v>
      </c>
      <c r="F33" s="56"/>
    </row>
    <row r="34" spans="1:6" ht="25.5">
      <c r="A34" s="53" t="s">
        <v>127</v>
      </c>
      <c r="B34" s="54" t="s">
        <v>128</v>
      </c>
      <c r="C34" s="55">
        <v>203409.3</v>
      </c>
      <c r="D34" s="196">
        <f>C34*80/100</f>
        <v>162727.44</v>
      </c>
      <c r="E34" s="196">
        <f>C34-D34</f>
        <v>40681.859999999986</v>
      </c>
      <c r="F34" s="56"/>
    </row>
    <row r="35" spans="1:6" ht="25.5">
      <c r="A35" s="53" t="s">
        <v>129</v>
      </c>
      <c r="B35" s="54" t="s">
        <v>130</v>
      </c>
      <c r="C35" s="55">
        <v>111.85</v>
      </c>
      <c r="D35" s="196">
        <f>C35</f>
        <v>111.85</v>
      </c>
      <c r="E35" s="196"/>
      <c r="F35" s="56"/>
    </row>
    <row r="36" spans="1:6" ht="12.75">
      <c r="A36" s="48">
        <v>61</v>
      </c>
      <c r="B36" s="59" t="s">
        <v>23</v>
      </c>
      <c r="C36" s="61">
        <f>SUM(C30:C35)</f>
        <v>3094122.6300000004</v>
      </c>
      <c r="D36" s="198">
        <f>SUM(D30:D35)</f>
        <v>2725964.348</v>
      </c>
      <c r="E36" s="198">
        <f>SUM(E30:E34)</f>
        <v>368158.282</v>
      </c>
      <c r="F36" s="61"/>
    </row>
    <row r="37" spans="1:6" ht="12.75">
      <c r="A37" s="53" t="s">
        <v>131</v>
      </c>
      <c r="B37" s="54" t="s">
        <v>132</v>
      </c>
      <c r="C37" s="56">
        <f>1332988.59</f>
        <v>1332988.59</v>
      </c>
      <c r="D37" s="196">
        <f>C37*90/100</f>
        <v>1199689.7310000001</v>
      </c>
      <c r="E37" s="196">
        <f>C37-D37</f>
        <v>133298.85899999994</v>
      </c>
      <c r="F37" s="56"/>
    </row>
    <row r="38" spans="1:6" ht="12.75">
      <c r="A38" s="53" t="s">
        <v>133</v>
      </c>
      <c r="B38" s="54" t="s">
        <v>134</v>
      </c>
      <c r="C38" s="56">
        <f>363393.4</f>
        <v>363393.4</v>
      </c>
      <c r="D38" s="196">
        <f>C38*90/100</f>
        <v>327054.06000000006</v>
      </c>
      <c r="E38" s="196">
        <f>C38-D38</f>
        <v>36339.33999999997</v>
      </c>
      <c r="F38" s="56"/>
    </row>
    <row r="39" spans="1:6" ht="12.75">
      <c r="A39" s="53" t="s">
        <v>135</v>
      </c>
      <c r="B39" s="54" t="s">
        <v>136</v>
      </c>
      <c r="C39" s="56">
        <f>9000</f>
        <v>9000</v>
      </c>
      <c r="D39" s="196">
        <f>C39*90/100</f>
        <v>8100</v>
      </c>
      <c r="E39" s="196">
        <f aca="true" t="shared" si="2" ref="E39:E45">C39-D39</f>
        <v>900</v>
      </c>
      <c r="F39" s="56"/>
    </row>
    <row r="40" spans="1:6" ht="25.5">
      <c r="A40" s="53" t="s">
        <v>137</v>
      </c>
      <c r="B40" s="54" t="s">
        <v>138</v>
      </c>
      <c r="C40" s="56">
        <f>197070.03</f>
        <v>197070.03</v>
      </c>
      <c r="D40" s="196">
        <f>C40*90/100</f>
        <v>177363.027</v>
      </c>
      <c r="E40" s="196">
        <f t="shared" si="2"/>
        <v>19707.002999999997</v>
      </c>
      <c r="F40" s="56"/>
    </row>
    <row r="41" spans="1:6" ht="12.75">
      <c r="A41" s="53" t="s">
        <v>139</v>
      </c>
      <c r="B41" s="54" t="s">
        <v>140</v>
      </c>
      <c r="C41" s="56">
        <v>46800</v>
      </c>
      <c r="D41" s="196">
        <v>46800</v>
      </c>
      <c r="E41" s="196">
        <f t="shared" si="2"/>
        <v>0</v>
      </c>
      <c r="F41" s="56"/>
    </row>
    <row r="42" spans="1:6" ht="12.75">
      <c r="A42" s="53" t="s">
        <v>141</v>
      </c>
      <c r="B42" s="54" t="s">
        <v>142</v>
      </c>
      <c r="C42" s="56">
        <f>4182.75</f>
        <v>4182.75</v>
      </c>
      <c r="D42" s="196">
        <v>3573.9</v>
      </c>
      <c r="E42" s="196">
        <f t="shared" si="2"/>
        <v>608.8499999999999</v>
      </c>
      <c r="F42" s="56"/>
    </row>
    <row r="43" spans="1:6" ht="12.75">
      <c r="A43" s="53" t="s">
        <v>143</v>
      </c>
      <c r="B43" s="54" t="s">
        <v>144</v>
      </c>
      <c r="C43" s="56">
        <f>2402.71</f>
        <v>2402.71</v>
      </c>
      <c r="D43" s="196">
        <v>2402.71</v>
      </c>
      <c r="E43" s="196">
        <f t="shared" si="2"/>
        <v>0</v>
      </c>
      <c r="F43" s="56"/>
    </row>
    <row r="44" spans="1:6" ht="12.75">
      <c r="A44" s="53" t="s">
        <v>145</v>
      </c>
      <c r="B44" s="54" t="s">
        <v>146</v>
      </c>
      <c r="C44" s="56">
        <f>64068</f>
        <v>64068</v>
      </c>
      <c r="D44" s="196">
        <f>C44*85/100</f>
        <v>54457.8</v>
      </c>
      <c r="E44" s="196">
        <f t="shared" si="2"/>
        <v>9610.199999999997</v>
      </c>
      <c r="F44" s="56"/>
    </row>
    <row r="45" spans="1:6" ht="25.5">
      <c r="A45" s="53" t="s">
        <v>147</v>
      </c>
      <c r="B45" s="54" t="s">
        <v>148</v>
      </c>
      <c r="C45" s="56">
        <f>86635.43</f>
        <v>86635.43</v>
      </c>
      <c r="D45" s="196">
        <f>C45*85/100</f>
        <v>73640.1155</v>
      </c>
      <c r="E45" s="196">
        <f t="shared" si="2"/>
        <v>12995.314499999993</v>
      </c>
      <c r="F45" s="56"/>
    </row>
    <row r="46" spans="1:6" ht="25.5">
      <c r="A46" s="53" t="s">
        <v>149</v>
      </c>
      <c r="B46" s="54" t="s">
        <v>150</v>
      </c>
      <c r="C46" s="56">
        <f>933.97</f>
        <v>933.97</v>
      </c>
      <c r="D46" s="196">
        <v>0</v>
      </c>
      <c r="E46" s="196">
        <f>C46</f>
        <v>933.97</v>
      </c>
      <c r="F46" s="56"/>
    </row>
    <row r="47" spans="1:6" ht="12.75">
      <c r="A47" s="53" t="s">
        <v>151</v>
      </c>
      <c r="B47" s="54" t="s">
        <v>152</v>
      </c>
      <c r="C47" s="56">
        <f>45042.04</f>
        <v>45042.04</v>
      </c>
      <c r="D47" s="196">
        <f>C47</f>
        <v>45042.04</v>
      </c>
      <c r="E47" s="196">
        <v>0</v>
      </c>
      <c r="F47" s="56"/>
    </row>
    <row r="48" spans="1:6" ht="12.75">
      <c r="A48" s="53" t="s">
        <v>153</v>
      </c>
      <c r="B48" s="54" t="s">
        <v>154</v>
      </c>
      <c r="C48" s="56"/>
      <c r="D48" s="196"/>
      <c r="E48" s="196"/>
      <c r="F48" s="56"/>
    </row>
    <row r="49" spans="1:6" ht="12.75">
      <c r="A49" s="53" t="s">
        <v>155</v>
      </c>
      <c r="B49" s="54" t="s">
        <v>156</v>
      </c>
      <c r="C49" s="56">
        <f>282589.19</f>
        <v>282589.19</v>
      </c>
      <c r="D49" s="196">
        <f>C49*90/100</f>
        <v>254330.271</v>
      </c>
      <c r="E49" s="196">
        <f>C49-D49</f>
        <v>28258.918999999994</v>
      </c>
      <c r="F49" s="56"/>
    </row>
    <row r="50" spans="1:6" ht="12.75">
      <c r="A50" s="53" t="s">
        <v>157</v>
      </c>
      <c r="B50" s="54" t="s">
        <v>158</v>
      </c>
      <c r="C50" s="56">
        <f>4971.5</f>
        <v>4971.5</v>
      </c>
      <c r="D50" s="196">
        <v>4971.5</v>
      </c>
      <c r="E50" s="196">
        <v>0</v>
      </c>
      <c r="F50" s="56"/>
    </row>
    <row r="51" spans="1:6" ht="12.75">
      <c r="A51" s="53" t="s">
        <v>159</v>
      </c>
      <c r="B51" s="54" t="s">
        <v>160</v>
      </c>
      <c r="C51" s="56">
        <f>3431.77</f>
        <v>3431.77</v>
      </c>
      <c r="D51" s="196">
        <v>0</v>
      </c>
      <c r="E51" s="196">
        <f>C51</f>
        <v>3431.77</v>
      </c>
      <c r="F51" s="56"/>
    </row>
    <row r="52" spans="1:6" ht="12.75">
      <c r="A52" s="48">
        <v>62</v>
      </c>
      <c r="B52" s="59" t="s">
        <v>23</v>
      </c>
      <c r="C52" s="61">
        <f>SUM(C37:C51)</f>
        <v>2443509.3800000004</v>
      </c>
      <c r="D52" s="198">
        <f>SUM(D37:D51)</f>
        <v>2197425.1545</v>
      </c>
      <c r="E52" s="198">
        <f>SUM(E37:E51)</f>
        <v>246084.22549999988</v>
      </c>
      <c r="F52" s="61"/>
    </row>
    <row r="53" spans="1:6" ht="12.75">
      <c r="A53" s="53" t="s">
        <v>161</v>
      </c>
      <c r="B53" s="54" t="s">
        <v>162</v>
      </c>
      <c r="C53" s="56">
        <f>2837.61+11844.32</f>
        <v>14681.93</v>
      </c>
      <c r="D53" s="196"/>
      <c r="E53" s="196">
        <f>C53</f>
        <v>14681.93</v>
      </c>
      <c r="F53" s="56"/>
    </row>
    <row r="54" spans="1:6" ht="12.75">
      <c r="A54" s="48">
        <v>63</v>
      </c>
      <c r="B54" s="59" t="s">
        <v>23</v>
      </c>
      <c r="C54" s="61">
        <f>SUM(C53)</f>
        <v>14681.93</v>
      </c>
      <c r="D54" s="198">
        <v>0</v>
      </c>
      <c r="E54" s="198">
        <f>SUM(E53)</f>
        <v>14681.93</v>
      </c>
      <c r="F54" s="61"/>
    </row>
    <row r="55" spans="1:6" ht="25.5">
      <c r="A55" s="53" t="s">
        <v>163</v>
      </c>
      <c r="B55" s="54" t="s">
        <v>164</v>
      </c>
      <c r="C55" s="56">
        <f>14627.35</f>
        <v>14627.35</v>
      </c>
      <c r="D55" s="196">
        <f>C55</f>
        <v>14627.35</v>
      </c>
      <c r="E55" s="196">
        <v>0</v>
      </c>
      <c r="F55" s="56"/>
    </row>
    <row r="56" spans="1:6" ht="25.5">
      <c r="A56" s="53" t="s">
        <v>165</v>
      </c>
      <c r="B56" s="54" t="s">
        <v>166</v>
      </c>
      <c r="C56" s="56">
        <f>14067.79</f>
        <v>14067.79</v>
      </c>
      <c r="D56" s="196">
        <f>C56*90/100</f>
        <v>12661.011</v>
      </c>
      <c r="E56" s="196">
        <f>C56-D56</f>
        <v>1406.7790000000005</v>
      </c>
      <c r="F56" s="56"/>
    </row>
    <row r="57" spans="1:6" ht="12.75">
      <c r="A57" s="53" t="s">
        <v>167</v>
      </c>
      <c r="B57" s="54" t="s">
        <v>168</v>
      </c>
      <c r="C57" s="56">
        <f>1966.35</f>
        <v>1966.35</v>
      </c>
      <c r="D57" s="196">
        <f>C57*90/100</f>
        <v>1769.715</v>
      </c>
      <c r="E57" s="196">
        <f>C57-D57</f>
        <v>196.635</v>
      </c>
      <c r="F57" s="56"/>
    </row>
    <row r="58" spans="1:6" ht="25.5">
      <c r="A58" s="53" t="s">
        <v>169</v>
      </c>
      <c r="B58" s="54" t="s">
        <v>170</v>
      </c>
      <c r="C58" s="56">
        <f>7386.11</f>
        <v>7386.11</v>
      </c>
      <c r="D58" s="196">
        <f>C58*90/100</f>
        <v>6647.499</v>
      </c>
      <c r="E58" s="196">
        <f>C58-D58</f>
        <v>738.6109999999999</v>
      </c>
      <c r="F58" s="56"/>
    </row>
    <row r="59" spans="1:6" ht="25.5">
      <c r="A59" s="53" t="s">
        <v>171</v>
      </c>
      <c r="B59" s="54" t="s">
        <v>172</v>
      </c>
      <c r="C59" s="56"/>
      <c r="D59" s="196"/>
      <c r="E59" s="196"/>
      <c r="F59" s="56"/>
    </row>
    <row r="60" spans="1:6" ht="12.75">
      <c r="A60" s="53" t="s">
        <v>173</v>
      </c>
      <c r="B60" s="54" t="s">
        <v>174</v>
      </c>
      <c r="C60" s="56">
        <f>28569.83</f>
        <v>28569.83</v>
      </c>
      <c r="D60" s="196"/>
      <c r="E60" s="196">
        <f>C60</f>
        <v>28569.83</v>
      </c>
      <c r="F60" s="56"/>
    </row>
    <row r="61" spans="1:6" ht="12.75">
      <c r="A61" s="62" t="s">
        <v>175</v>
      </c>
      <c r="B61" s="63" t="s">
        <v>176</v>
      </c>
      <c r="C61" s="58">
        <v>678.05</v>
      </c>
      <c r="D61" s="199">
        <v>0</v>
      </c>
      <c r="E61" s="199">
        <f>C61</f>
        <v>678.05</v>
      </c>
      <c r="F61" s="58"/>
    </row>
    <row r="62" spans="1:6" ht="25.5">
      <c r="A62" s="53" t="s">
        <v>177</v>
      </c>
      <c r="B62" s="54" t="s">
        <v>178</v>
      </c>
      <c r="C62" s="56">
        <v>268</v>
      </c>
      <c r="D62" s="196">
        <f>C62</f>
        <v>268</v>
      </c>
      <c r="E62" s="196"/>
      <c r="F62" s="56"/>
    </row>
    <row r="63" spans="1:6" ht="12.75">
      <c r="A63" s="53" t="s">
        <v>179</v>
      </c>
      <c r="B63" s="54" t="s">
        <v>180</v>
      </c>
      <c r="C63" s="56">
        <v>620.7</v>
      </c>
      <c r="D63" s="196"/>
      <c r="E63" s="196">
        <f>C63</f>
        <v>620.7</v>
      </c>
      <c r="F63" s="56"/>
    </row>
    <row r="64" spans="1:7" ht="12.75">
      <c r="A64" s="48">
        <v>64</v>
      </c>
      <c r="B64" s="59" t="s">
        <v>23</v>
      </c>
      <c r="C64" s="61">
        <f>SUM(C55:C63)</f>
        <v>68184.18</v>
      </c>
      <c r="D64" s="198">
        <f>SUM(D55:D63)</f>
        <v>35973.575</v>
      </c>
      <c r="E64" s="198">
        <f>SUM(E55:E63)</f>
        <v>32210.605000000003</v>
      </c>
      <c r="F64" s="61"/>
      <c r="G64" s="171"/>
    </row>
    <row r="65" spans="1:6" ht="13.5">
      <c r="A65" s="53"/>
      <c r="B65" s="170" t="s">
        <v>65</v>
      </c>
      <c r="C65" s="98"/>
      <c r="D65" s="196"/>
      <c r="E65" s="196"/>
      <c r="F65" s="58"/>
    </row>
    <row r="66" spans="1:256" ht="13.5">
      <c r="A66" s="98"/>
      <c r="B66" s="78" t="s">
        <v>292</v>
      </c>
      <c r="C66" s="105">
        <v>556218.71</v>
      </c>
      <c r="E66" s="200">
        <f>C66</f>
        <v>556218.71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</row>
    <row r="67" spans="1:6" ht="13.5">
      <c r="A67" s="53">
        <v>66</v>
      </c>
      <c r="B67" s="98" t="s">
        <v>293</v>
      </c>
      <c r="C67" s="56">
        <v>0</v>
      </c>
      <c r="E67" s="196"/>
      <c r="F67" s="56"/>
    </row>
    <row r="68" spans="1:6" ht="13.5">
      <c r="A68" s="53">
        <v>66</v>
      </c>
      <c r="B68" s="98" t="s">
        <v>212</v>
      </c>
      <c r="C68" s="56">
        <v>1567862.79</v>
      </c>
      <c r="D68" s="203">
        <f>C68*90/100</f>
        <v>1411076.511</v>
      </c>
      <c r="E68" s="196">
        <f>C68-D68</f>
        <v>156786.2790000001</v>
      </c>
      <c r="F68" s="56"/>
    </row>
    <row r="69" spans="1:6" ht="13.5">
      <c r="A69" s="53">
        <v>66</v>
      </c>
      <c r="B69" s="98" t="s">
        <v>214</v>
      </c>
      <c r="C69" s="56">
        <v>2082029.86</v>
      </c>
      <c r="D69" s="203">
        <f>C69</f>
        <v>2082029.86</v>
      </c>
      <c r="E69" s="196"/>
      <c r="F69" s="56"/>
    </row>
    <row r="70" spans="1:6" ht="13.5">
      <c r="A70" s="53">
        <v>66</v>
      </c>
      <c r="B70" s="98" t="s">
        <v>216</v>
      </c>
      <c r="C70" s="56"/>
      <c r="E70" s="196"/>
      <c r="F70" s="56"/>
    </row>
    <row r="71" spans="1:6" ht="13.5">
      <c r="A71" s="53">
        <v>66</v>
      </c>
      <c r="B71" s="98" t="s">
        <v>217</v>
      </c>
      <c r="C71" s="56">
        <v>8984.8</v>
      </c>
      <c r="E71" s="196">
        <f>C71</f>
        <v>8984.8</v>
      </c>
      <c r="F71" s="56"/>
    </row>
    <row r="72" spans="1:6" ht="13.5">
      <c r="A72" s="53">
        <v>66</v>
      </c>
      <c r="B72" s="98" t="s">
        <v>218</v>
      </c>
      <c r="C72" s="56">
        <v>600067.14</v>
      </c>
      <c r="D72" s="203">
        <f>C72*90/100</f>
        <v>540060.426</v>
      </c>
      <c r="E72" s="196">
        <f>C72-D72</f>
        <v>60006.714000000036</v>
      </c>
      <c r="F72" s="56"/>
    </row>
    <row r="73" spans="1:6" ht="13.5">
      <c r="A73" s="53">
        <v>66</v>
      </c>
      <c r="B73" s="98" t="s">
        <v>219</v>
      </c>
      <c r="C73" s="56">
        <v>0</v>
      </c>
      <c r="E73" s="196"/>
      <c r="F73" s="56"/>
    </row>
    <row r="74" spans="1:6" ht="13.5">
      <c r="A74" s="53"/>
      <c r="B74" s="98" t="s">
        <v>294</v>
      </c>
      <c r="C74" s="56">
        <v>12380.95</v>
      </c>
      <c r="D74" s="203">
        <f>C74*90/100</f>
        <v>11142.855</v>
      </c>
      <c r="E74" s="196">
        <f>C74-D74</f>
        <v>1238.0950000000012</v>
      </c>
      <c r="F74" s="56"/>
    </row>
    <row r="75" spans="1:6" ht="13.5">
      <c r="A75" s="53"/>
      <c r="B75" s="97"/>
      <c r="C75" s="56"/>
      <c r="E75" s="196"/>
      <c r="F75" s="56"/>
    </row>
    <row r="76" spans="1:6" ht="13.5">
      <c r="A76" s="53"/>
      <c r="B76" s="97"/>
      <c r="C76" s="56"/>
      <c r="E76" s="196"/>
      <c r="F76" s="56"/>
    </row>
    <row r="77" spans="1:6" ht="12.75">
      <c r="A77" s="48">
        <v>66</v>
      </c>
      <c r="B77" s="59" t="s">
        <v>23</v>
      </c>
      <c r="C77" s="35">
        <f>SUM(C66:C76)</f>
        <v>4827544.25</v>
      </c>
      <c r="D77" s="198">
        <f>SUM(D66:D75)</f>
        <v>4044309.6520000002</v>
      </c>
      <c r="E77" s="198">
        <f>SUM(E66:E75)</f>
        <v>783234.5980000001</v>
      </c>
      <c r="F77" s="61"/>
    </row>
    <row r="78" spans="1:6" ht="12.75">
      <c r="A78" s="64" t="s">
        <v>181</v>
      </c>
      <c r="B78" s="65" t="s">
        <v>182</v>
      </c>
      <c r="C78" s="66">
        <v>17720.74</v>
      </c>
      <c r="D78" s="203">
        <f>C78</f>
        <v>17720.74</v>
      </c>
      <c r="E78" s="198"/>
      <c r="F78" s="66"/>
    </row>
    <row r="79" spans="1:6" ht="12.75">
      <c r="A79" s="64" t="s">
        <v>183</v>
      </c>
      <c r="B79" s="65" t="s">
        <v>184</v>
      </c>
      <c r="C79" s="66">
        <v>431236.11</v>
      </c>
      <c r="E79" s="201">
        <f>C79</f>
        <v>431236.11</v>
      </c>
      <c r="F79" s="66"/>
    </row>
    <row r="80" spans="1:6" ht="12.75">
      <c r="A80" s="48">
        <v>67</v>
      </c>
      <c r="B80" s="59" t="s">
        <v>23</v>
      </c>
      <c r="C80" s="61">
        <f>C78+C79</f>
        <v>448956.85</v>
      </c>
      <c r="D80" s="198"/>
      <c r="E80" s="198">
        <f>C80</f>
        <v>448956.85</v>
      </c>
      <c r="F80" s="61"/>
    </row>
    <row r="81" spans="1:6" ht="12.75">
      <c r="A81" s="48"/>
      <c r="B81" s="67" t="s">
        <v>185</v>
      </c>
      <c r="C81" s="61">
        <f>C29+C36+C52+C54+C64+C77+C80</f>
        <v>59534624.54999999</v>
      </c>
      <c r="D81" s="198">
        <f>D80+D77+D64+D54+D52+D36+D29</f>
        <v>53875919.37127501</v>
      </c>
      <c r="E81" s="198">
        <f>E80+E77+E64+E54+E52+E36+E29</f>
        <v>5658705.178724999</v>
      </c>
      <c r="F81" s="61"/>
    </row>
    <row r="82" spans="5:6" ht="12.75">
      <c r="E82" s="202"/>
      <c r="F82" s="69"/>
    </row>
    <row r="83" ht="12.75">
      <c r="C83" s="69" t="s">
        <v>66</v>
      </c>
    </row>
    <row r="84" spans="4:7" ht="12.75">
      <c r="D84" s="203">
        <f>D81+E81</f>
        <v>59534624.550000004</v>
      </c>
      <c r="G84" s="204">
        <f>D81+E81-C81</f>
        <v>0</v>
      </c>
    </row>
    <row r="85" ht="12.75">
      <c r="D85" s="203">
        <f>-C81</f>
        <v>-59534624.54999999</v>
      </c>
    </row>
    <row r="86" ht="12.75">
      <c r="D86" s="203">
        <f>SUM(D84:D85)</f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2011-09-23T09:08:11Z</cp:lastPrinted>
  <dcterms:created xsi:type="dcterms:W3CDTF">2008-04-11T17:48:16Z</dcterms:created>
  <dcterms:modified xsi:type="dcterms:W3CDTF">2011-10-24T06:34:37Z</dcterms:modified>
  <cp:category/>
  <cp:version/>
  <cp:contentType/>
  <cp:contentStatus/>
</cp:coreProperties>
</file>